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'Прайс-лист'!$B$7:$B$803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<sst xmlns="http://schemas.openxmlformats.org/spreadsheetml/2006/main" uniqueCount="2367">
  <si>
    <t>Прайс-лист</t>
  </si>
  <si>
    <t>https://him-auto.ru/</t>
  </si>
  <si>
    <t>Актуальность прайса на: 2026-11-01 23:42:49</t>
  </si>
  <si>
    <t>Пылесосы, пылеводососы и запасные части</t>
  </si>
  <si>
    <t>№</t>
  </si>
  <si>
    <t>Артикул</t>
  </si>
  <si>
    <t>Наименование</t>
  </si>
  <si>
    <t>URL</t>
  </si>
  <si>
    <t>Наличие</t>
  </si>
  <si>
    <t>Цена</t>
  </si>
  <si>
    <t>Сумма</t>
  </si>
  <si>
    <t>Валюта</t>
  </si>
  <si>
    <t>CB WVC-01 Моющий пылесос Экстрактор 1600 Вт</t>
  </si>
  <si>
    <t>https://him-auto.ru/pylesosy-pylevodososy-i-zapasnye-chasti/cb-wvc-01-moyushchij-pylesos-ehkstraktor-1600-vt/</t>
  </si>
  <si>
    <t>руб.</t>
  </si>
  <si>
    <t>CB WVC-02</t>
  </si>
  <si>
    <t>CB WVC-02 Моющий пылесос химчистка экстрактор 1600 Вт</t>
  </si>
  <si>
    <t>https://him-auto.ru/pylesosy-pylevodososy-i-zapasnye-chasti/cb-wvc-02-moyushchij-pylesos-himchistka-ehkstraktor-1600-vt/</t>
  </si>
  <si>
    <t>ASDO05247</t>
  </si>
  <si>
    <t>EUROPA 429GA XP Пылесос для сухой и влажной уборки пласт. бак, 2 турб, 2800 Вт, 62 л. гараж. компл.</t>
  </si>
  <si>
    <t>https://him-auto.ru/pylesosy-pylevodososy-i-zapasnye-chasti/europa-429ga-xp-pylesos-dlya-suhoj-i-vlazhnoj-uborki-plast-bak-2-turb-2800-vt-62-l-garazh-kompl/</t>
  </si>
  <si>
    <t>EXTRA 300GA</t>
  </si>
  <si>
    <t>https://him-auto.ru/pylesosy-pylevodososy-i-zapasnye-chasti/extra-300ga/</t>
  </si>
  <si>
    <t>много</t>
  </si>
  <si>
    <t>JUSTOPA 504 DEL</t>
  </si>
  <si>
    <t>JUSTO PANDA 504 Пылесос для строительных работ, 1 турб., 32 л.</t>
  </si>
  <si>
    <t>https://him-auto.ru/pylesosy-pylevodososy-i-zapasnye-chasti/justo-panda-504-pylesos-dlya-stroitelnyh-rabot-1-turb-32-l/</t>
  </si>
  <si>
    <t>ASDO07716</t>
  </si>
  <si>
    <t>LEO Пылесос для сухой уборки (малошумный), пластиковый бак, 1 турб, 10 л.</t>
  </si>
  <si>
    <t>https://him-auto.ru/pylesosy-pylevodososy-i-zapasnye-chasti/leo-pylesos-dlya-suhoj-uborki-maloshumnyj-plastikovyj-bak-1-turb-10-l/</t>
  </si>
  <si>
    <t>ASDO07938</t>
  </si>
  <si>
    <t>MEC 215 WD Пылесос для сухой и влажной уборки, мет. бак, 1 турб, 1200 Вт, 24 л. полн. компл.</t>
  </si>
  <si>
    <t>https://him-auto.ru/pylesosy-pylevodososy-i-zapasnye-chasti/mec-215-wd-pylesos-dlya-suhoj-i-vlazhnoj-uborki-met-bak-1-turb-1200-vt-24-l-poln-kompl/</t>
  </si>
  <si>
    <t>ASDO08014</t>
  </si>
  <si>
    <t>MEC 423 WD Пылесос для сухой и влажной уборки, мет. бак, 2 турб, 2600 Вт, 62 л. полн. компл.</t>
  </si>
  <si>
    <t>https://him-auto.ru/pylesosy-pylevodososy-i-zapasnye-chasti/mec-423-wd-pylesos-dlya-suhoj-i-vlazhnoj-uborki-met-bak-2-turb-2600-vt-62-l-poln-kompl/</t>
  </si>
  <si>
    <t>ASDO08054</t>
  </si>
  <si>
    <t>MEC 433 WD Пылесос для сухой и влажной уборки, мет. бак, 3 турб, 3500 Вт, 62 л.полн. компл.</t>
  </si>
  <si>
    <t>https://him-auto.ru/pylesosy-pylevodososy-i-zapasnye-chasti/mec-433-wd-pylesos-dlya-suhoj-i-vlazhnoj-uborki-met-bak-3-turb-3500-vt-62-lpoln-kompl/</t>
  </si>
  <si>
    <t>ASDO08073</t>
  </si>
  <si>
    <t>MEC 503 WD Пылесос для сухой и влажной уборки,мет. бак, 1 турб, 1400 Вт, 32 л. полн. компл.</t>
  </si>
  <si>
    <t>https://him-auto.ru/pylesosy-pylevodososy-i-zapasnye-chasti/mec-503-wd-pylesos-dlya-suhoj-i-vlazhnoj-uborkimet-bak-1-turb-1400-vt-32-l-poln-kompl/</t>
  </si>
  <si>
    <t>ASDO12978/MEC 429 XP GA</t>
  </si>
  <si>
    <t>MEC 62/2 SG Пылесос для сухой и влажной уборки, мет. бак,2 турб, 2800 Вт, 62 л. гараж.компл.</t>
  </si>
  <si>
    <t>https://him-auto.ru/pylesosy-pylevodososy-i-zapasnye-chasti/mec-622-sg-pylesos-dlya-suhoj-i-vlazhnoj-uborki-met-bak2-turb-2800-vt-62-l-garazhkompl/</t>
  </si>
  <si>
    <t>ASDO08181</t>
  </si>
  <si>
    <t>MEC 623 WD Пылесос для сухой и влажной уборки с тележкой опр.бак, 2 турб, 2600 Вт, 78 л. полн.компл.</t>
  </si>
  <si>
    <t>https://him-auto.ru/pylesosy-pylevodososy-i-zapasnye-chasti/mec-623-wd-pylesos-dlya-suhoj-i-vlazhnoj-uborki-s-telezhkoj-oprbak-2-turb-2600-vt-78-l-polnkompl/</t>
  </si>
  <si>
    <t>ASDO02200/ATLAS/A G6AZ</t>
  </si>
  <si>
    <t>MEC ATLAS Ковровый экстрактор с тележкой, мет. бак,2 турб, 78 л, бак для химии 20 л.</t>
  </si>
  <si>
    <t>https://him-auto.ru/pylesosy-pylevodososy-i-zapasnye-chasti/mec-atlas-kovrovyj-ehkstraktor-s-telezhkoj-met-bak2-turb-78-l-bak-dlya-himii-20-l/</t>
  </si>
  <si>
    <t>ASDO06091/IDROCLEAN G6AZ</t>
  </si>
  <si>
    <t>MEC IDROCLEAN Ковровый экстрактор, пласт. бак, водн. НЕРА-фильтр, 1 турб, 27 л, бак для химии 6,2 л.</t>
  </si>
  <si>
    <t>https://him-auto.ru/pylesosy-pylevodososy-i-zapasnye-chasti/mec-idroclean-kovrovyj-ehkstraktor-plast-bak-vodn-nera-filtr-1-turb-27-l-bak-dlya-himii-62-l/</t>
  </si>
  <si>
    <t>ASDO07052/JUSTO MEC 504</t>
  </si>
  <si>
    <t>MEC JUSTO Пылесос для сухой уборки, металлический бак,1 турб., 32 л. с розеткой для инструмента</t>
  </si>
  <si>
    <t>https://him-auto.ru/pylesosy-pylevodososy-i-zapasnye-chasti/mec-justo-pylesos-dlya-suhoj-uborki-metallicheskij-bak1-turb-32-l-s-rozetkoj-dlya-instrumenta/</t>
  </si>
  <si>
    <t>ASDO10479/SСUP G6AZ</t>
  </si>
  <si>
    <t>MEC SCUP Ковровый экстрактор, метал. бак, 1 турб, 33 л, бак для химии 11 л.</t>
  </si>
  <si>
    <t>https://him-auto.ru/pylesosy-pylevodososy-i-zapasnye-chasti/mec-scup-kovrovyj-ehkstraktor-metal-bak-1-turb-33-l-bak-dlya-himii-11-l/</t>
  </si>
  <si>
    <t>ASDO05230/EUR 215 E/XP</t>
  </si>
  <si>
    <t>MEC WD 16/1P Пылесос для сухой и влажной уборки, пласт. бак, 1 турб, 1500 Вт, 16 л. полн. компл.</t>
  </si>
  <si>
    <t>https://him-auto.ru/pylesosy-pylevodososy-i-zapasnye-chasti/mec-wd-161p-pylesos-dlya-suhoj-i-vlazhnoj-uborki-plast-bak-1-turb-1500-vt-16-l-poln-kompl/</t>
  </si>
  <si>
    <t>ASDO08139/MEC 515/26 XP</t>
  </si>
  <si>
    <t>MEC WD 26/1S Пылесос для сухой и влажной уборки, мет. бак, 1 турб, 1500 Вт, 26 л.полн. компл.</t>
  </si>
  <si>
    <t>https://him-auto.ru/pylesosy-pylevodososy-i-zapasnye-chasti/mec-wd-261s-pylesos-dlya-suhoj-i-vlazhnoj-uborki-met-bak-1-turb-1500-vt-26-lpoln-kompl/</t>
  </si>
  <si>
    <t>ASDO05239/EUR 515 E/XP</t>
  </si>
  <si>
    <t>MEC WD 27/1P Пылесос для сухой и влажной уборки, пласт. бак, 1 турб, 1500 Вт, 27 л.полн. компл.</t>
  </si>
  <si>
    <t>https://him-auto.ru/pylesosy-pylevodososy-i-zapasnye-chasti/mec-wd-271p-pylesos-dlya-suhoj-i-vlazhnoj-uborki-plast-bak-1-turb-1500-vt-27-lpoln-kompl/</t>
  </si>
  <si>
    <t>ASDO08141/MEC 515/33 XP</t>
  </si>
  <si>
    <t>MEC WD 33/1S Пылесос для сухой и влажной уборки, мет. бак, 1 турб, 1500 Вт, 33 л.полн. компл.</t>
  </si>
  <si>
    <t>https://him-auto.ru/pylesosy-pylevodososy-i-zapasnye-chasti/mec-wd-331s-pylesos-dlya-suhoj-i-vlazhnoj-uborki-met-bak-1-turb-1500-vt-33-lpoln-kompl/</t>
  </si>
  <si>
    <t>ASDO05240/EUR 515/37 E/XP</t>
  </si>
  <si>
    <t>MEC WD 37/1P Пылесос для сухой и влажной уборки, пласт. бак , 1 турб, 1500 Вт, 37 л.полн. компл.</t>
  </si>
  <si>
    <t>https://him-auto.ru/pylesosy-pylevodososy-i-zapasnye-chasti/mec-wd-371p-pylesos-dlya-suhoj-i-vlazhnoj-uborki-plast-bak-1-turb-1500-vt-37-lpoln-kompl/</t>
  </si>
  <si>
    <t>ASDO08145/MEC 515/41 XP</t>
  </si>
  <si>
    <t>MEC WD 41/1S Пылесос для сухой и влажной убоки, мет. бак, 1 турб, 1500 Вт, 41 л. полн. компл.</t>
  </si>
  <si>
    <t>https://him-auto.ru/pylesosy-pylevodososy-i-zapasnye-chasti/mec-wd-411s-pylesos-dlya-suhoj-i-vlazhnoj-uboki-met-bak-1-turb-1500-vt-41-l-poln-kompl/</t>
  </si>
  <si>
    <t>ASDO12981/MEC 429FM</t>
  </si>
  <si>
    <t>MEC WD 429 PLUS Пылесос для сухой и влажной уборки, 2 турб, 2800 Вт, 62 л. Floymix полн. компл.</t>
  </si>
  <si>
    <t>https://him-auto.ru/pylesosy-pylevodososy-i-zapasnye-chasti/mec-wd-429-plus-pylesos-dlya-suhoj-i-vlazhnoj-uborki-2-turb-2800-vt-62-l-floymix-poln-kompl/</t>
  </si>
  <si>
    <t>ASDO08042/MEC 429 XP</t>
  </si>
  <si>
    <t>MEC WD 62/2 S Пылесос для сухой и влажной уборки, мет. бак, 2 турб, 2800 Вт, 62 л.полн. компл.</t>
  </si>
  <si>
    <t>https://him-auto.ru/pylesosy-pylevodososy-i-zapasnye-chasti/mec-wd-622-s-pylesos-dlya-suhoj-i-vlazhnoj-uborki-met-bak-2-turb-2800-vt-62-lpoln-kompl/</t>
  </si>
  <si>
    <t>ASDO0525400/ EUR 440 S/XP</t>
  </si>
  <si>
    <t>MEC WD 62/2PG Пылесос для сухой и влажной уборки пласт. бак, 3 турб, 3500 Вт, 62 л.гараж. комп.</t>
  </si>
  <si>
    <t>https://him-auto.ru/pylesosy-pylevodososy-i-zapasnye-chasti/mec-wd-622pg-pylesos-dlya-suhoj-i-vlazhnoj-uborki-plast-bak-3-turb-3500-vt-62-lgarazh-komp/</t>
  </si>
  <si>
    <t>ASDO08068/MEC 440 XP</t>
  </si>
  <si>
    <t>MEC WD 62/3 S Пылесос для сухой и влажной уборки,мет. бак, 3 турб, 3500 Вт, 62 л. гараж. компл.</t>
  </si>
  <si>
    <t>https://him-auto.ru/pylesosy-pylevodososy-i-zapasnye-chasti/mec-wd-623-s-pylesos-dlya-suhoj-i-vlazhnoj-uborkimet-bak-3-turb-3500-vt-62-l-garazh-kompl/</t>
  </si>
  <si>
    <t>ASDO12980/MEC 440 XP GA</t>
  </si>
  <si>
    <t>MEC WD 62/3 SG Пылесос для сух. и влажн. уборки,тележка, мет. бак,3 турб,3500 Вт,62 л. гараж. компл.</t>
  </si>
  <si>
    <t>https://him-auto.ru/pylesosy-pylevodososy-i-zapasnye-chasti/mec-wd-623-sg-pylesos-dlya-suh-i-vlazhn-uborkitelezhka-met-bak3-turb3500-vt62-l-garazh-kompl/</t>
  </si>
  <si>
    <t>ASDO12982/MEC 629 FM</t>
  </si>
  <si>
    <t>MEC WD 629 PLUS Пылесос для сух. и влажн. уборки,тележка, 2 турб,3500 Вт,78л,Floymix,полн. компл.</t>
  </si>
  <si>
    <t>https://him-auto.ru/pylesosy-pylevodososy-i-zapasnye-chasti/mec-wd-629-plus-pylesos-dlya-suh-i-vlazhn-uborkitelezhka-2-turb3500-vt78lfloymixpoln-kompl/</t>
  </si>
  <si>
    <t>ASDO08304/MEC V640 M</t>
  </si>
  <si>
    <t>MEC WD 640M Пылесос для для уборки строительной пыли,мет. бак, 3 турб, 3300 Вт, 112 л.гараж.к.</t>
  </si>
  <si>
    <t>https://him-auto.ru/pylesosy-pylevodososy-i-zapasnye-chasti/mec-wd-640m-pylesos-dlya-dlya-uborki-stroitelnoj-pylimet-bak-3-turb-3300-vt-112-lgarazhk/</t>
  </si>
  <si>
    <t>ASID400001</t>
  </si>
  <si>
    <t>PLANET 50 P Пылесос для сухой уборки, метал. бак, 1 турб, 3000 Вт, 57 л.</t>
  </si>
  <si>
    <t>https://him-auto.ru/pylesosy-pylevodososy-i-zapasnye-chasti/planet-50-p-pylesos-dlya-suhoj-uborki-metal-bak-1-turb-3000-vt-57-l/</t>
  </si>
  <si>
    <t>VCM-20S CHG</t>
  </si>
  <si>
    <t>https://him-auto.ru/pylesosy-pylevodososy-i-zapasnye-chasti/vcm-20s-chg/</t>
  </si>
  <si>
    <t>ASDO15507/YP 1/6 ECO B</t>
  </si>
  <si>
    <t>YP 1/6 ECO B Пылесос для сухой уборки, пластиковый бак,1 турб., 10 л.</t>
  </si>
  <si>
    <t>https://him-auto.ru/pylesosy-pylevodososy-i-zapasnye-chasti/yp-16-eco-b-pylesos-dlya-suhoj-uborki-plastikovyj-bak1-turb-10-l/</t>
  </si>
  <si>
    <t>ASDO12874</t>
  </si>
  <si>
    <t>YP 1400/20 Пылесос для сухой и влажной уборки, пластиковый бак,1 турб., 20 л. 1400 Вт</t>
  </si>
  <si>
    <t>https://him-auto.ru/pylesosy-pylevodososy-i-zapasnye-chasti/yp-140020-pylesos-dlya-suhoj-i-vlazhnoj-uborki-plastikovyj-bak1-turb-20-l-1400-vt/</t>
  </si>
  <si>
    <t>ASDO12702</t>
  </si>
  <si>
    <t>YP 1400/6 Пылесос для сухой уборки, пластиковый бак,1 турб., 10 л.</t>
  </si>
  <si>
    <t>https://him-auto.ru/pylesosy-pylevodososy-i-zapasnye-chasti/yp-14006-pylesos-dlya-suhoj-uborki-plastikovyj-bak1-turb-10-l/</t>
  </si>
  <si>
    <t>87147 FTDP (6053R)</t>
  </si>
  <si>
    <t>Аксессуары для пылесосов, запчасти</t>
  </si>
  <si>
    <t>https://him-auto.ru/pylesosy-pylevodososy-i-zapasnye-chasti/aksessuary-dlya-pylesosov-zapchasti/</t>
  </si>
  <si>
    <t>04111 KTRI (03293 SAN)</t>
  </si>
  <si>
    <t>https://him-auto.ru/pylesosy-pylevodososy-i-zapasnye-chasti/aksessuary-dlya-pylesosov-zapchasti/?sku=155073</t>
  </si>
  <si>
    <t>30 Plastc base</t>
  </si>
  <si>
    <t>База тележки пластик без колес без ручки для BF580-3</t>
  </si>
  <si>
    <t>https://him-auto.ru/pylesosy-pylevodososy-i-zapasnye-chasti/baza-telezhki-plastik-bez-koles-bez-ruchki-dlya-bf580-3/</t>
  </si>
  <si>
    <t>05095 PMVR (02643G6)</t>
  </si>
  <si>
    <t>Бак (корпус) TORNADO 200</t>
  </si>
  <si>
    <t>https://him-auto.ru/pylesosy-pylevodososy-i-zapasnye-chasti/bak-korpus-tornado-200/</t>
  </si>
  <si>
    <t>02643 BT (05092 PMUR)</t>
  </si>
  <si>
    <t>Бак (корпус) TORNADO 200 IDRO</t>
  </si>
  <si>
    <t>https://him-auto.ru/pylesosy-pylevodososy-i-zapasnye-chasti/bak-korpus-tornado-200-idro/</t>
  </si>
  <si>
    <t>10618 LAFN S (02666)</t>
  </si>
  <si>
    <t>Бак Panda 503 в сборе</t>
  </si>
  <si>
    <t>https://him-auto.ru/pylesosy-pylevodososy-i-zapasnye-chasti/bak-panda-503-v-sbore/</t>
  </si>
  <si>
    <t>28779 MPVR (02683)</t>
  </si>
  <si>
    <t>Бак внутренний для химчистки в сборе TORNADO 300</t>
  </si>
  <si>
    <t>https://him-auto.ru/pylesosy-pylevodososy-i-zapasnye-chasti/bak-vnutrennij-dlya-himchistki-v-sbore-tornado-300/</t>
  </si>
  <si>
    <t>02074 PMFU/05099 PMVR (R 2644 IDRO G6/AR)</t>
  </si>
  <si>
    <t>Бак всборе TORNADO 200 IDRO</t>
  </si>
  <si>
    <t>https://him-auto.ru/pylesosy-pylevodososy-i-zapasnye-chasti/bak-vsbore-tornado-200-idro/</t>
  </si>
  <si>
    <t>01711 PMFU (07029)</t>
  </si>
  <si>
    <t>Бак для Panda 440 Plast</t>
  </si>
  <si>
    <t>https://him-auto.ru/pylesosy-pylevodososy-i-zapasnye-chasti/bak-dlya-panda-440-plast/</t>
  </si>
  <si>
    <t>86131 MPVR</t>
  </si>
  <si>
    <t>Бак для химчистки TORNADO 200 (ведро внутреннее)</t>
  </si>
  <si>
    <t>https://him-auto.ru/pylesosy-pylevodososy-i-zapasnye-chasti/bak-dlya-himchistki-tornado-200-vedro-vnutrennee/</t>
  </si>
  <si>
    <t>42001 MPVR (02638)</t>
  </si>
  <si>
    <t>Бак для химчистки TORNADO 300 (ведро внутреннее)</t>
  </si>
  <si>
    <t>https://him-auto.ru/pylesosy-pylevodososy-i-zapasnye-chasti/bak-dlya-himchistki-tornado-300-vedro-vnutrennee/</t>
  </si>
  <si>
    <t>28734 LAFN (00476)</t>
  </si>
  <si>
    <t>Бак из нерж.стали для пылесосов 440, 423, 433</t>
  </si>
  <si>
    <t>https://him-auto.ru/pylesosy-pylevodososy-i-zapasnye-chasti/bak-iz-nerzhstali-dlya-pylesosov-440-423-433/</t>
  </si>
  <si>
    <t>05847 PMVR (R6039 G6)</t>
  </si>
  <si>
    <t>Бак из пластика для пылесоса PANDA 215 M XP PLAST</t>
  </si>
  <si>
    <t>https://him-auto.ru/pylesosy-pylevodososy-i-zapasnye-chasti/bak-iz-plastika-dlya-pylesosa-panda-215-m-xp-plast/</t>
  </si>
  <si>
    <t>04886 PMVR (020984G6)</t>
  </si>
  <si>
    <t>Бак из пластика для пылесосов TORNADO 440</t>
  </si>
  <si>
    <t>https://him-auto.ru/pylesosy-pylevodososy-i-zapasnye-chasti/bak-iz-plastika-dlya-pylesosov-tornado-440/</t>
  </si>
  <si>
    <t>PMFU02444</t>
  </si>
  <si>
    <t>Бак металлический 06713</t>
  </si>
  <si>
    <t>https://him-auto.ru/pylesosy-pylevodososy-i-zapasnye-chasti/bak-metallicheskij-06713/</t>
  </si>
  <si>
    <t>02611 PMFU</t>
  </si>
  <si>
    <t>Бак пылесоса (нерж.сталь)</t>
  </si>
  <si>
    <t>https://him-auto.ru/pylesosy-pylevodososy-i-zapasnye-chasti/bak-pylesosa-nerzhstal/</t>
  </si>
  <si>
    <t>PMFU02788</t>
  </si>
  <si>
    <t>Бак с крышкой и бумажным фильтром бак 62 литра 400/60 патрубок D50</t>
  </si>
  <si>
    <t>https://him-auto.ru/pylesosy-pylevodososy-i-zapasnye-chasti/bak-s-kryshkoj-i-bumazhnym-filtrom-bak-62-litra-40060-patrubok-d50/</t>
  </si>
  <si>
    <t>219003200</t>
  </si>
  <si>
    <t>Балка для для всасывания жидкости, комплект</t>
  </si>
  <si>
    <t>https://him-auto.ru/pylesosy-pylevodososy-i-zapasnye-chasti/balka-dlya-dlya-vsasyvaniya-zhidkosti-komplekt/</t>
  </si>
  <si>
    <t>3208151500</t>
  </si>
  <si>
    <t>Бобина 22 м</t>
  </si>
  <si>
    <t>https://him-auto.ru/pylesosy-pylevodososy-i-zapasnye-chasti/bobina-22-m/</t>
  </si>
  <si>
    <t>2082</t>
  </si>
  <si>
    <t>Болт фильтра для V640 M</t>
  </si>
  <si>
    <t>https://him-auto.ru/pylesosy-pylevodososy-i-zapasnye-chasti/bolt-filtra-dlya-v640-m/</t>
  </si>
  <si>
    <t>3050002400</t>
  </si>
  <si>
    <t>Бумажные мешки комплект 10 шт.</t>
  </si>
  <si>
    <t>https://him-auto.ru/pylesosy-pylevodososy-i-zapasnye-chasti/bumazhnye-meshki-komplekt-10-sht/</t>
  </si>
  <si>
    <t>3050002300</t>
  </si>
  <si>
    <t>https://him-auto.ru/pylesosy-pylevodososy-i-zapasnye-chasti/bumazhnye-meshki-komplekt-10-sht/?sku=160580</t>
  </si>
  <si>
    <t>3050001900</t>
  </si>
  <si>
    <t>Бумажные мешки комплект 10 шт."CVP"</t>
  </si>
  <si>
    <t>https://him-auto.ru/pylesosy-pylevodososy-i-zapasnye-chasti/bumazhnye-meshki-komplekt-10-shtcvp/</t>
  </si>
  <si>
    <t>3050001600</t>
  </si>
  <si>
    <t>Бумажные мешки комплект 5 шт.CM20S CV20S</t>
  </si>
  <si>
    <t>https://him-auto.ru/pylesosy-pylevodososy-i-zapasnye-chasti/bumazhnye-meshki-komplekt-5-shtcm20s-cv20s/</t>
  </si>
  <si>
    <t>3050001700</t>
  </si>
  <si>
    <t>Бумажные мешки комплект 5 шт.CV20X</t>
  </si>
  <si>
    <t>https://him-auto.ru/pylesosy-pylevodososy-i-zapasnye-chasti/bumazhnye-meshki-komplekt-5-shtcv20x/</t>
  </si>
  <si>
    <t>3050001800</t>
  </si>
  <si>
    <t>Бумажные мешки комплект 5 шт.CV30</t>
  </si>
  <si>
    <t>https://him-auto.ru/pylesosy-pylevodososy-i-zapasnye-chasti/bumazhnye-meshki-komplekt-5-shtcv30/</t>
  </si>
  <si>
    <t>3029013300</t>
  </si>
  <si>
    <t>Бункер для мусоросборника</t>
  </si>
  <si>
    <t>https://him-auto.ru/pylesosy-pylevodososy-i-zapasnye-chasti/bunker-dlya-musorosbornika/</t>
  </si>
  <si>
    <t>00014-02300 (1801004900)</t>
  </si>
  <si>
    <t>Быстросъемный патрубок оцинкованный Ø 70/50</t>
  </si>
  <si>
    <t>https://him-auto.ru/pylesosy-pylevodososy-i-zapasnye-chasti/bystrosemnyj-patrubok-ocinkovannyj-ø-7050/</t>
  </si>
  <si>
    <t>1112004800</t>
  </si>
  <si>
    <t>Ведро для разделения стружки без поплавка для бака с насосом</t>
  </si>
  <si>
    <t>https://him-auto.ru/pylesosy-pylevodososy-i-zapasnye-chasti/vedro-dlya-razdeleniya-struzhki-bez-poplavka-dlya-baka-s-nasosom/</t>
  </si>
  <si>
    <t>72207 VTVT (03629)</t>
  </si>
  <si>
    <t>Винт для пылесоса GP 2/62 SPRAY EXT</t>
  </si>
  <si>
    <t>https://him-auto.ru/pylesosy-pylevodososy-i-zapasnye-chasti/vint-dlya-pylesosa-gp-262-spray-ext/</t>
  </si>
  <si>
    <t>87311 VTVT S (03156)</t>
  </si>
  <si>
    <t>Винт для пылесоса GS 3/78 OIL</t>
  </si>
  <si>
    <t>https://him-auto.ru/pylesosy-pylevodososy-i-zapasnye-chasti/vint-dlya-pylesosa-gs-378-oil/</t>
  </si>
  <si>
    <t>72106 VTVT S (02627)</t>
  </si>
  <si>
    <t>Винт для пылесоса PANDA</t>
  </si>
  <si>
    <t>https://him-auto.ru/pylesosy-pylevodososy-i-zapasnye-chasti/vint-dlya-pylesosa-panda/</t>
  </si>
  <si>
    <t>36751 VTVT (03724)</t>
  </si>
  <si>
    <t>https://him-auto.ru/pylesosy-pylevodososy-i-zapasnye-chasti/vint-dlya-pylesosa-panda/?sku=154536</t>
  </si>
  <si>
    <t>01191 VTVT S (06369)</t>
  </si>
  <si>
    <t>Винт для пылесоса PLANET 755 S</t>
  </si>
  <si>
    <t>https://him-auto.ru/pylesosy-pylevodososy-i-zapasnye-chasti/vint-dlya-pylesosa-planet-755-s/</t>
  </si>
  <si>
    <t>71960 VTVT (01005)</t>
  </si>
  <si>
    <t>Винт для пылесоса TORNADO</t>
  </si>
  <si>
    <t>https://him-auto.ru/pylesosy-pylevodososy-i-zapasnye-chasti/vint-dlya-pylesosa-tornado/</t>
  </si>
  <si>
    <t>1006</t>
  </si>
  <si>
    <t>https://him-auto.ru/pylesosy-pylevodososy-i-zapasnye-chasti/vint-dlya-pylesosa-tornado/?sku=154532</t>
  </si>
  <si>
    <t>71966 VTVT S (01026)</t>
  </si>
  <si>
    <t>https://him-auto.ru/pylesosy-pylevodososy-i-zapasnye-chasti/vint-dlya-pylesosa-tornado/?sku=154535</t>
  </si>
  <si>
    <t>3273</t>
  </si>
  <si>
    <t>https://him-auto.ru/pylesosy-pylevodososy-i-zapasnye-chasti/vint-dlya-pylesosa-tornado/?sku=154546</t>
  </si>
  <si>
    <t>01180 VTVT (03049)</t>
  </si>
  <si>
    <t>Винт для пылесоса TORNADO 200 IDRO</t>
  </si>
  <si>
    <t>https://him-auto.ru/pylesosy-pylevodososy-i-zapasnye-chasti/vint-dlya-pylesosa-tornado-200-idro/</t>
  </si>
  <si>
    <t>AWI125PY</t>
  </si>
  <si>
    <t>Водопылесос ARES PLUS INOX, AWI125PY</t>
  </si>
  <si>
    <t>https://him-auto.ru/pylesosy-pylevodososy-i-zapasnye-chasti/vodopylesos-ares-plus-inox-awi125py/</t>
  </si>
  <si>
    <t>AWI125PYCW</t>
  </si>
  <si>
    <t>Водопылесос ARES PLUS INOX, AWI125PYCW</t>
  </si>
  <si>
    <t>https://him-auto.ru/pylesosy-pylevodososy-i-zapasnye-chasti/vodopylesos-ares-plus-inox-awi125pycw/</t>
  </si>
  <si>
    <t>AWP125PY</t>
  </si>
  <si>
    <t>Водопылесос ARES PLUS, AWP125PY</t>
  </si>
  <si>
    <t>https://him-auto.ru/pylesosy-pylevodososy-i-zapasnye-chasti/vodopylesos-ares-plus-awp125py/</t>
  </si>
  <si>
    <t>AWP125PYCW</t>
  </si>
  <si>
    <t>Водопылесос ARES PLUS, AWP125PYCW</t>
  </si>
  <si>
    <t>https://him-auto.ru/pylesosy-pylevodososy-i-zapasnye-chasti/vodopylesos-ares-plus-awp125pycw/</t>
  </si>
  <si>
    <t>AWP110Y</t>
  </si>
  <si>
    <t>Водопылесос ARES WET&amp;DRY, AWP110Y</t>
  </si>
  <si>
    <t>https://him-auto.ru/pylesosy-pylevodososy-i-zapasnye-chasti/vodopylesos-ares-wetdry-awp110y/</t>
  </si>
  <si>
    <t>BWP110</t>
  </si>
  <si>
    <t>Водопылесос BIO, BWP110</t>
  </si>
  <si>
    <t>https://him-auto.ru/pylesosy-pylevodososy-i-zapasnye-chasti/vodopylesos-bio-bwp110/</t>
  </si>
  <si>
    <t>EXWI220YCW</t>
  </si>
  <si>
    <t>Водопылесос EXEL WI220CW INOX, EXWI220YCW</t>
  </si>
  <si>
    <t>https://him-auto.ru/pylesosy-pylevodososy-i-zapasnye-chasti/vodopylesos-exel-wi220cw-inox-exwi220ycw/</t>
  </si>
  <si>
    <t>EXWI330Y</t>
  </si>
  <si>
    <t>Водопылесос EXEL WI330CW INOX, EXWI330Y</t>
  </si>
  <si>
    <t>https://him-auto.ru/pylesosy-pylevodososy-i-zapasnye-chasti/vodopylesos-exel-wi330cw-inox-exwi330y/</t>
  </si>
  <si>
    <t>EXWI330YCW</t>
  </si>
  <si>
    <t>Водопылесос EXEL WI330CW INOX, EXWI330YCW</t>
  </si>
  <si>
    <t>https://him-auto.ru/pylesosy-pylevodososy-i-zapasnye-chasti/vodopylesos-exel-wi330cw-inox-exwi330ycw/</t>
  </si>
  <si>
    <t>EXWP220YCW</t>
  </si>
  <si>
    <t>Водопылесос EXEL WP220CW, EXWP220YCW</t>
  </si>
  <si>
    <t>https://him-auto.ru/pylesosy-pylevodososy-i-zapasnye-chasti/vodopylesos-exel-wp220cw-exwp220ycw/</t>
  </si>
  <si>
    <t>EXWP330Y</t>
  </si>
  <si>
    <t>Водопылесос EXEL WP330Y, EXWP330Y</t>
  </si>
  <si>
    <t>https://him-auto.ru/pylesosy-pylevodososy-i-zapasnye-chasti/vodopylesos-exel-wp330y-exwp330y/</t>
  </si>
  <si>
    <t>EXWP330YCW</t>
  </si>
  <si>
    <t>Водопылесос EXEL WP330Y, EXWP330YCW</t>
  </si>
  <si>
    <t>https://him-auto.ru/pylesosy-pylevodososy-i-zapasnye-chasti/vodopylesos-exel-wp330y-exwp330ycw/</t>
  </si>
  <si>
    <t>EXTRA 200</t>
  </si>
  <si>
    <t>Водопылесос EXTRA 200</t>
  </si>
  <si>
    <t>https://him-auto.ru/pylesosy-pylevodososy-i-zapasnye-chasti/vodopylesos-extra-200/</t>
  </si>
  <si>
    <t>ASDO 40028</t>
  </si>
  <si>
    <t>Водопылесос Mirage 1 W 1 26 S, ASDO 40028</t>
  </si>
  <si>
    <t>https://him-auto.ru/pylesosy-pylevodososy-i-zapasnye-chasti/vodopylesos-mirage-1-w-1-26-s-asdo-40028/</t>
  </si>
  <si>
    <t>ASDO 40029</t>
  </si>
  <si>
    <t>Водопылесос MIRAGE 1 W 1 32 S, ASDO 40029</t>
  </si>
  <si>
    <t>https://him-auto.ru/pylesosy-pylevodososy-i-zapasnye-chasti/vodopylesos-mirage-1-w-1-32-s-asdo-40029/</t>
  </si>
  <si>
    <t>ASDO 40030</t>
  </si>
  <si>
    <t>Водопылесос Mirage 1 W 2 61 S GA, ASDO 40030</t>
  </si>
  <si>
    <t>https://him-auto.ru/pylesosy-pylevodososy-i-zapasnye-chasti/vodopylesos-mirage-1-w-2-61-s-ga-asdo-40030/</t>
  </si>
  <si>
    <t>ASDO 40032</t>
  </si>
  <si>
    <t>Водопылесос MIRAGE 1 W 2 76 S, ASDO 40032</t>
  </si>
  <si>
    <t>https://him-auto.ru/pylesosy-pylevodososy-i-zapasnye-chasti/vodopylesos-mirage-1-w-2-76-s-asdo-40032/</t>
  </si>
  <si>
    <t>ASDO 40031</t>
  </si>
  <si>
    <t>Водопылесос Mirage 1 W 3 61 S GA, ASDO 40031</t>
  </si>
  <si>
    <t>https://him-auto.ru/pylesosy-pylevodososy-i-zapasnye-chasti/vodopylesos-mirage-1-w-3-61-s-ga-asdo-40031/</t>
  </si>
  <si>
    <t>ASDO 40033</t>
  </si>
  <si>
    <t>Водопылесос Mirage 1 W 3 76 S, ASDO 40033</t>
  </si>
  <si>
    <t>https://him-auto.ru/pylesosy-pylevodososy-i-zapasnye-chasti/vodopylesos-mirage-1-w-3-76-s-asdo-40033/</t>
  </si>
  <si>
    <t>09786 ASDO</t>
  </si>
  <si>
    <t>Водопылесос PANDA 215 INOX, 09786 ASDO</t>
  </si>
  <si>
    <t>https://him-auto.ru/pylesosy-pylevodososy-i-zapasnye-chasti/vodopylesos-panda-215-inox-09786-asdo/</t>
  </si>
  <si>
    <t>09808 ASDO</t>
  </si>
  <si>
    <t>Водопылесос PANDA 423 INOX, 09808 ASDO</t>
  </si>
  <si>
    <t>https://him-auto.ru/pylesosy-pylevodososy-i-zapasnye-chasti/vodopylesos-panda-423-inox-09808-asdo/</t>
  </si>
  <si>
    <t>09837 ASDO</t>
  </si>
  <si>
    <t>Водопылесос PANDA 433 INOX, 09837 ASDO</t>
  </si>
  <si>
    <t>https://him-auto.ru/pylesosy-pylevodososy-i-zapasnye-chasti/vodopylesos-panda-433-inox-09837-asdo/</t>
  </si>
  <si>
    <t>09918 ASDO</t>
  </si>
  <si>
    <t>Водопылесос PANDA 623 INOX, 09918 ASDO</t>
  </si>
  <si>
    <t>https://him-auto.ru/pylesosy-pylevodososy-i-zapasnye-chasti/vodopylesos-panda-623-inox-09918-asdo/</t>
  </si>
  <si>
    <t>09948 ASDO</t>
  </si>
  <si>
    <t>Водопылесос PANDA 633 INOX, 09948 ASDO</t>
  </si>
  <si>
    <t>https://him-auto.ru/pylesosy-pylevodososy-i-zapasnye-chasti/vodopylesos-panda-633-inox-09948-asdo/</t>
  </si>
  <si>
    <t>RL 215</t>
  </si>
  <si>
    <t>Водопылесос RL 215</t>
  </si>
  <si>
    <t>https://him-auto.ru/pylesosy-pylevodososy-i-zapasnye-chasti/vodopylesos-rl-215/</t>
  </si>
  <si>
    <t>11173 ASDO</t>
  </si>
  <si>
    <t>Водопылесос TORNADO 215 Inox, 11173 ASDO</t>
  </si>
  <si>
    <t>https://him-auto.ru/pylesosy-pylevodososy-i-zapasnye-chasti/vodopylesos-tornado-215-inox-11173-asdo/</t>
  </si>
  <si>
    <t>11201 ASDO</t>
  </si>
  <si>
    <t>Водопылесос TORNADO 423 Inox, 11201 ASDO</t>
  </si>
  <si>
    <t>https://him-auto.ru/pylesosy-pylevodososy-i-zapasnye-chasti/vodopylesos-tornado-423-inox-11201-asdo/</t>
  </si>
  <si>
    <t>11272 ASDO</t>
  </si>
  <si>
    <t>Водопылесос TORNADO 433 Inox, 11272 ASDO</t>
  </si>
  <si>
    <t>https://him-auto.ru/pylesosy-pylevodososy-i-zapasnye-chasti/vodopylesos-tornado-433-inox-11272-asdo/</t>
  </si>
  <si>
    <t>11296 ASDO</t>
  </si>
  <si>
    <t>Водопылесос TORNADO 503 Inox, 11296 ASDO</t>
  </si>
  <si>
    <t>https://him-auto.ru/pylesosy-pylevodososy-i-zapasnye-chasti/vodopylesos-tornado-503-inox-11296-asdo/</t>
  </si>
  <si>
    <t>11340 ASDO</t>
  </si>
  <si>
    <t>Водопылесос TORNADO 623 Inox, 11340 ASDO</t>
  </si>
  <si>
    <t>https://him-auto.ru/pylesosy-pylevodososy-i-zapasnye-chasti/vodopylesos-tornado-623-inox-11340-asdo/</t>
  </si>
  <si>
    <t>11342 ASDO</t>
  </si>
  <si>
    <t>Водопылесос TORNADO 629 Inox, 11342 ASDO</t>
  </si>
  <si>
    <t>https://him-auto.ru/pylesosy-pylevodososy-i-zapasnye-chasti/vodopylesos-tornado-629-inox-11342-asdo/</t>
  </si>
  <si>
    <t>11344 ASDO</t>
  </si>
  <si>
    <t>Водопылесос TORNADO 633 Inox , 11344 ASDO</t>
  </si>
  <si>
    <t>https://him-auto.ru/pylesosy-pylevodososy-i-zapasnye-chasti/vodopylesos-tornado-633-inox-11344-asdo/</t>
  </si>
  <si>
    <t>11346 ASDO</t>
  </si>
  <si>
    <t>Водопылесос TORNADO 640 Inox, 11346 ASDO</t>
  </si>
  <si>
    <t>https://him-auto.ru/pylesosy-pylevodososy-i-zapasnye-chasti/vodopylesos-tornado-640-inox-11346-asdo/</t>
  </si>
  <si>
    <t>VEWI330Y</t>
  </si>
  <si>
    <t>Водопылесос VERSO WI330Y INOX, VEWI330Y</t>
  </si>
  <si>
    <t>https://him-auto.ru/pylesosy-pylevodososy-i-zapasnye-chasti/vodopylesos-verso-wi330y-inox-vewi330y/</t>
  </si>
  <si>
    <t>VEWP330Y</t>
  </si>
  <si>
    <t>Водопылесос VERSO WP330Y, VEWP330Y</t>
  </si>
  <si>
    <t>https://him-auto.ru/pylesosy-pylevodososy-i-zapasnye-chasti/vodopylesos-verso-wp330y-vewp330y/</t>
  </si>
  <si>
    <t>RLC168A-30L INOX</t>
  </si>
  <si>
    <t>Водопылесос для влажной и сухой уборки с системой "Циклон" (30 литров INOX)</t>
  </si>
  <si>
    <t>https://him-auto.ru/pylesosy-pylevodososy-i-zapasnye-chasti/vodopylesos-dlya-vlazhnoj-i-suhoj-uborki-s-sistemoj-ciklon-30-litrov-inox/</t>
  </si>
  <si>
    <t>RL095 15L INOX</t>
  </si>
  <si>
    <t>Водопылесос для сбора золы и пепла (15 литров INOX)</t>
  </si>
  <si>
    <t>https://him-auto.ru/pylesosy-pylevodososy-i-zapasnye-chasti/vodopylesos-dlya-sbora-zoly-i-pepla-15-litrov-inox/</t>
  </si>
  <si>
    <t>10001-09516</t>
  </si>
  <si>
    <t>Всасывающий шланг для экстрактора Comer СVC 112 полный комплект</t>
  </si>
  <si>
    <t>https://him-auto.ru/pylesosy-pylevodososy-i-zapasnye-chasti/vsasyvayushchij-shlang-dlya-ehkstraktora-comer-svc-112-polnyj-komplekt/</t>
  </si>
  <si>
    <t>3212005900  (0.965.0003)</t>
  </si>
  <si>
    <t>Всасывающий шланг для экстрактора JUPITER полный комплект</t>
  </si>
  <si>
    <t>https://him-auto.ru/pylesosy-pylevodososy-i-zapasnye-chasti/vsasyvayushchij-shlang-dlya-ehkstraktora-jupiter-polnyj-komplekt/</t>
  </si>
  <si>
    <t>3046005100</t>
  </si>
  <si>
    <t>Вставка для насадки с резиновыми стяжками L-300 мм Ø 35</t>
  </si>
  <si>
    <t>https://him-auto.ru/pylesosy-pylevodososy-i-zapasnye-chasti/vstavka-dlya-nasadki-s-rezinovymi-styazhkami-l-300-mm-ø-35/</t>
  </si>
  <si>
    <t>3046005200</t>
  </si>
  <si>
    <t>Вставка для насадки с резиновыми стяжками L-400 мм Ø 40</t>
  </si>
  <si>
    <t>https://him-auto.ru/pylesosy-pylevodososy-i-zapasnye-chasti/vstavka-dlya-nasadki-s-rezinovymi-styazhkami-l-400-mm-ø-40/</t>
  </si>
  <si>
    <t>3046018300</t>
  </si>
  <si>
    <t>Вставка для насадки с резиновыми стяжками для влажной уборки</t>
  </si>
  <si>
    <t>https://him-auto.ru/pylesosy-pylevodososy-i-zapasnye-chasti/vstavka-dlya-nasadki-s-rezinovymi-styazhkami-dlya-vlazhnoj-uborki/</t>
  </si>
  <si>
    <t>3046018400</t>
  </si>
  <si>
    <t>Вставка для насадки с щетками для ковров L-400 мм Ø 40</t>
  </si>
  <si>
    <t>https://him-auto.ru/pylesosy-pylevodososy-i-zapasnye-chasti/vstavka-dlya-nasadki-s-shchetkami-dlya-kovrov-l-400-mm-ø-40/</t>
  </si>
  <si>
    <t>3046004900</t>
  </si>
  <si>
    <t>Вставка для насадки с щетками для пыли L-300 мм Ø 35</t>
  </si>
  <si>
    <t>https://him-auto.ru/pylesosy-pylevodososy-i-zapasnye-chasti/vstavka-dlya-nasadki-s-shchetkami-dlya-pyli-l-300-mm-ø-35/</t>
  </si>
  <si>
    <t>3046005000</t>
  </si>
  <si>
    <t>Вставка для насадки с щетками для пыли L-400 мм Ø 40</t>
  </si>
  <si>
    <t>https://him-auto.ru/pylesosy-pylevodososy-i-zapasnye-chasti/vstavka-dlya-nasadki-s-shchetkami-dlya-pyli-l-400-mm-ø-40/</t>
  </si>
  <si>
    <t>3046018200</t>
  </si>
  <si>
    <t>Вставка для насадки со щетками для сухой уборки</t>
  </si>
  <si>
    <t>https://him-auto.ru/pylesosy-pylevodososy-i-zapasnye-chasti/vstavka-dlya-nasadki-so-shchetkami-dlya-suhoj-uborki/</t>
  </si>
  <si>
    <t>1002037600</t>
  </si>
  <si>
    <t>Вторичный фильтр картридж HEPA</t>
  </si>
  <si>
    <t>https://him-auto.ru/pylesosy-pylevodososy-i-zapasnye-chasti/vtorichnyj-filtr-kartridzh-hepa/</t>
  </si>
  <si>
    <t>06936 MPVR S (07638)</t>
  </si>
  <si>
    <t>Втулка дефлектора</t>
  </si>
  <si>
    <t>https://him-auto.ru/pylesosy-pylevodososy-i-zapasnye-chasti/vtulka-deflektora/</t>
  </si>
  <si>
    <t>CEPR110-14</t>
  </si>
  <si>
    <t>Выключатель давления GP110-1/4"</t>
  </si>
  <si>
    <t>https://him-auto.ru/pylesosy-pylevodososy-i-zapasnye-chasti/vyklyuchatel-davleniya-gp110-14/</t>
  </si>
  <si>
    <t>CEIN016RB4</t>
  </si>
  <si>
    <t>Выключатель для пылесоса</t>
  </si>
  <si>
    <t>https://him-auto.ru/pylesosy-pylevodososy-i-zapasnye-chasti/vyklyuchatel-dlya-pylesosa/</t>
  </si>
  <si>
    <t>35796 MPVR (03706)</t>
  </si>
  <si>
    <t>Гайка крепления</t>
  </si>
  <si>
    <t>https://him-auto.ru/pylesosy-pylevodososy-i-zapasnye-chasti/gajka-krepleniya/</t>
  </si>
  <si>
    <t>00230 VTDD S (01650)</t>
  </si>
  <si>
    <t>Гайка фильтра для V640 M</t>
  </si>
  <si>
    <t>https://him-auto.ru/pylesosy-pylevodososy-i-zapasnye-chasti/gajka-filtra-dlya-v640-m/</t>
  </si>
  <si>
    <t>26401912</t>
  </si>
  <si>
    <t>Гибкая щелевая насадка 375 мм с защитой от краж</t>
  </si>
  <si>
    <t>https://him-auto.ru/pylesosy-pylevodososy-i-zapasnye-chasti/gibkaya-shchelevaya-nasadka-375-mm-s-zashchitoj-ot-krazh/</t>
  </si>
  <si>
    <t>Гибкая щелевая насадка вращ. 375 мм DN 38 Вращ. Защита от краж благодаря Clip-замку из 3 частей</t>
  </si>
  <si>
    <t>https://him-auto.ru/pylesosy-pylevodososy-i-zapasnye-chasti/gibkaya-shchelevaya-nasadka-vrashch-375-mm-dn-38-vrashch-zashchita-ot-krazh-blagodarya-clip-zamku-iz-3-chastej/</t>
  </si>
  <si>
    <t>01161 TBFX (00705)</t>
  </si>
  <si>
    <t>Гибкий шланг для химчистки 200, 2м - длина</t>
  </si>
  <si>
    <t>https://him-auto.ru/pylesosy-pylevodososy-i-zapasnye-chasti/gibkij-shlang-dlya-himchistki-200-2m-dlina/</t>
  </si>
  <si>
    <t>1833A</t>
  </si>
  <si>
    <t>Двигатель 5,5 кВт 380В H112 HP7.5 4P MA AC KW 5.5 4P полый вал d24мм</t>
  </si>
  <si>
    <t>https://him-auto.ru/pylesosy-pylevodososy-i-zapasnye-chasti/dvigatel-55-kvt-380v-h112-hp75-4p-ma-ac-kw-55-4p-polyj-val-d24mm/</t>
  </si>
  <si>
    <t>10281 MPVR (07814 NE)</t>
  </si>
  <si>
    <t>Держатель аксессуаров для YVO WET</t>
  </si>
  <si>
    <t>https://him-auto.ru/pylesosy-pylevodososy-i-zapasnye-chasti/derzhatel-aksessuarov-dlya-yvo-wet/</t>
  </si>
  <si>
    <t>28723 MPVR (02855)</t>
  </si>
  <si>
    <t>Держатель гребенчатого фильтра</t>
  </si>
  <si>
    <t>https://him-auto.ru/pylesosy-pylevodososy-i-zapasnye-chasti/derzhatel-grebenchatogo-filtra/</t>
  </si>
  <si>
    <t>06788 MPVR (06278)</t>
  </si>
  <si>
    <t>Держатель гребенчатого фильтра 200 IDRO</t>
  </si>
  <si>
    <t>https://him-auto.ru/pylesosy-pylevodososy-i-zapasnye-chasti/derzhatel-grebenchatogo-filtra-200-idro/</t>
  </si>
  <si>
    <t>06789 MPVR (06282)</t>
  </si>
  <si>
    <t>https://him-auto.ru/pylesosy-pylevodososy-i-zapasnye-chasti/derzhatel-grebenchatogo-filtra-200-idro/?sku=154991</t>
  </si>
  <si>
    <t>35807 MPVR S</t>
  </si>
  <si>
    <t>Держатель мешка пластиковый</t>
  </si>
  <si>
    <t>https://him-auto.ru/pylesosy-pylevodososy-i-zapasnye-chasti/derzhatel-meshka-plastikovyj/</t>
  </si>
  <si>
    <t>40247 MPVR S (06281)</t>
  </si>
  <si>
    <t>Держатель фильтра 200 IDRO</t>
  </si>
  <si>
    <t>https://him-auto.ru/pylesosy-pylevodososy-i-zapasnye-chasti/derzhatel-filtra-200-idro/</t>
  </si>
  <si>
    <t>BF580-21</t>
  </si>
  <si>
    <t>Дренажный сливной шланг с пробкой для BF580</t>
  </si>
  <si>
    <t>https://him-auto.ru/pylesosy-pylevodososy-i-zapasnye-chasti/drenazhnyj-slivnoj-shlang-s-probkoj-dlya-bf580/</t>
  </si>
  <si>
    <t>85445 MPVR</t>
  </si>
  <si>
    <t>Зажим для крепления шланга подачи химии к вакуумному шлангу Soteco</t>
  </si>
  <si>
    <t>https://him-auto.ru/pylesosy-pylevodososy-i-zapasnye-chasti/zazhim-dlya-krepleniya-shlanga-podachi-himii-k-vakuumnomu-shlangu-soteco/</t>
  </si>
  <si>
    <t>71992 VTVR S (01302)</t>
  </si>
  <si>
    <t>Заклепка 200, 200 IDRO</t>
  </si>
  <si>
    <t>https://him-auto.ru/pylesosy-pylevodososy-i-zapasnye-chasti/zaklepka-200-200-idro/</t>
  </si>
  <si>
    <t>04755 PMVR S (R 20341 RN SL)</t>
  </si>
  <si>
    <t>Зап. часть для пылесоса</t>
  </si>
  <si>
    <t>https://him-auto.ru/pylesosy-pylevodososy-i-zapasnye-chasti/zap-chast-dlya-pylesosa/</t>
  </si>
  <si>
    <t>03618 KTRI (01847/SG6 BL)</t>
  </si>
  <si>
    <t>Защелка для пылесосов</t>
  </si>
  <si>
    <t>https://him-auto.ru/pylesosy-pylevodososy-i-zapasnye-chasti/zashchelka-dlya-pylesosov/</t>
  </si>
  <si>
    <t>05560 MPVR (R3602G6)</t>
  </si>
  <si>
    <t>Защелка для пылесосов (кроме V640M, PLANET 50)</t>
  </si>
  <si>
    <t>https://him-auto.ru/pylesosy-pylevodososy-i-zapasnye-chasti/zashchelka-dlya-pylesosov-krome-v640m-planet-50/</t>
  </si>
  <si>
    <t>BF570-18 (22129000152)</t>
  </si>
  <si>
    <t>Защелка клипса бака для BF570</t>
  </si>
  <si>
    <t>https://him-auto.ru/pylesosy-pylevodososy-i-zapasnye-chasti/zashchelka-klipsa-baka-dlya-bf570/</t>
  </si>
  <si>
    <t>22120600005</t>
  </si>
  <si>
    <t>Защелка клипса для бака</t>
  </si>
  <si>
    <t>https://him-auto.ru/pylesosy-pylevodososy-i-zapasnye-chasti/zashchelka-klipsa-dlya-baka/</t>
  </si>
  <si>
    <t>PMVR02867</t>
  </si>
  <si>
    <t>Защелка металл+пластик 01847/SG4</t>
  </si>
  <si>
    <t>https://him-auto.ru/pylesosy-pylevodososy-i-zapasnye-chasti/zashchelka-metallplastik-01847sg4/</t>
  </si>
  <si>
    <t>BF580-20  (22129000152)</t>
  </si>
  <si>
    <t>Защелка-клипса бака BF580</t>
  </si>
  <si>
    <t>https://him-auto.ru/pylesosy-pylevodososy-i-zapasnye-chasti/zashchelka-klipsa-baka-bf580/</t>
  </si>
  <si>
    <t>40251 MPVR (021243 NE, 40521 MPVR)</t>
  </si>
  <si>
    <t>Защита турбины пылесоса (поплавок)</t>
  </si>
  <si>
    <t>https://him-auto.ru/pylesosy-pylevodososy-i-zapasnye-chasti/zashchita-turbiny-pylesosa-poplavok/</t>
  </si>
  <si>
    <t>20813 COND</t>
  </si>
  <si>
    <t>Защита фильтров для 600 MARK NX 3FLOW</t>
  </si>
  <si>
    <t>https://him-auto.ru/pylesosy-pylevodososy-i-zapasnye-chasti/zashchita-filtrov-dlya-600-mark-nx-3flow/</t>
  </si>
  <si>
    <t>01432 MECB S (020312)</t>
  </si>
  <si>
    <t>Кабель</t>
  </si>
  <si>
    <t>https://him-auto.ru/pylesosy-pylevodososy-i-zapasnye-chasti/kabel/</t>
  </si>
  <si>
    <t>01212 MECB S/01831 MECB (07632)</t>
  </si>
  <si>
    <t>https://him-auto.ru/pylesosy-pylevodososy-i-zapasnye-chasti/kabel/?sku=154993</t>
  </si>
  <si>
    <t>MECB01432</t>
  </si>
  <si>
    <t>Кабель электрический с соед. элементами</t>
  </si>
  <si>
    <t>https://him-auto.ru/pylesosy-pylevodososy-i-zapasnye-chasti/kabel-ehlektricheskij-s-soed-ehlementami/</t>
  </si>
  <si>
    <t>00422 CNPR (5160412101)</t>
  </si>
  <si>
    <t>Картриджный фильтр YP1400/20</t>
  </si>
  <si>
    <t>https://him-auto.ru/pylesosy-pylevodososy-i-zapasnye-chasti/kartridzhnyj-filtr-yp140020/</t>
  </si>
  <si>
    <t>72195 MECI (00326)</t>
  </si>
  <si>
    <t>Кнопка "белая" 215, 503</t>
  </si>
  <si>
    <t>https://him-auto.ru/pylesosy-pylevodososy-i-zapasnye-chasti/knopka-belaya-215-503/</t>
  </si>
  <si>
    <t>03375 KTRI (00326/BL)</t>
  </si>
  <si>
    <t>https://him-auto.ru/pylesosy-pylevodososy-i-zapasnye-chasti/knopka-belaya-215-503/?sku=155001</t>
  </si>
  <si>
    <t>72268 MECI (00756)</t>
  </si>
  <si>
    <t>Кнопка "зеленная" 200, 200 IDRO, 300, 700</t>
  </si>
  <si>
    <t>https://him-auto.ru/pylesosy-pylevodososy-i-zapasnye-chasti/knopka-zelennaya-200-200-idro-300-700/</t>
  </si>
  <si>
    <t>03383 KTRI (00484BL)</t>
  </si>
  <si>
    <t>Кнопка "красная" 200, 300, 423, 433, 429, 629, 633</t>
  </si>
  <si>
    <t>https://him-auto.ru/pylesosy-pylevodososy-i-zapasnye-chasti/knopka-krasnaya-200-300-423-433-429-629-633/</t>
  </si>
  <si>
    <t>28744 MECI (00484)</t>
  </si>
  <si>
    <t>https://him-auto.ru/pylesosy-pylevodososy-i-zapasnye-chasti/knopka-krasnaya-200-300-423-433-429-629-633/?sku=155018</t>
  </si>
  <si>
    <t>KTRI03383</t>
  </si>
  <si>
    <t>Кнопка "красная" 423, 433, 429, 629, 633</t>
  </si>
  <si>
    <t>https://him-auto.ru/pylesosy-pylevodososy-i-zapasnye-chasti/knopka-krasnaya-423-433-429-629-633/</t>
  </si>
  <si>
    <t>38052 MECI (00465/В)</t>
  </si>
  <si>
    <t>Кнопка "черная"</t>
  </si>
  <si>
    <t>https://him-auto.ru/pylesosy-pylevodososy-i-zapasnye-chasti/knopka-chernaya/</t>
  </si>
  <si>
    <t>02215 MEVR (5162710101)</t>
  </si>
  <si>
    <t>Кнопка для YP 1400/20</t>
  </si>
  <si>
    <t>https://him-auto.ru/pylesosy-pylevodososy-i-zapasnye-chasti/knopka-dlya-yp-140020/</t>
  </si>
  <si>
    <t>02214 MEVR S (5162512001)</t>
  </si>
  <si>
    <t>Кнопка для YP 1400/6</t>
  </si>
  <si>
    <t>https://him-auto.ru/pylesosy-pylevodososy-i-zapasnye-chasti/knopka-dlya-yp-14006/</t>
  </si>
  <si>
    <t>RTRT21167</t>
  </si>
  <si>
    <t>Колесо 00479</t>
  </si>
  <si>
    <t>https://him-auto.ru/pylesosy-pylevodososy-i-zapasnye-chasti/koleso-00479/</t>
  </si>
  <si>
    <t>24322 RTRT S (02896)</t>
  </si>
  <si>
    <t>Колесо большое для пылесосов на тележке</t>
  </si>
  <si>
    <t>https://him-auto.ru/pylesosy-pylevodososy-i-zapasnye-chasti/koleso-bolshoe-dlya-pylesosov-na-telezhke/</t>
  </si>
  <si>
    <t>CPRU080S</t>
  </si>
  <si>
    <t>Колесо в сборе для пылесоса EXEL</t>
  </si>
  <si>
    <t>https://him-auto.ru/pylesosy-pylevodososy-i-zapasnye-chasti/koleso-v-sbore-dlya-pylesosa-exel/</t>
  </si>
  <si>
    <t>85069 RTRT (00904)</t>
  </si>
  <si>
    <t>Колесо для PANDA XP на тележке</t>
  </si>
  <si>
    <t>https://him-auto.ru/pylesosy-pylevodososy-i-zapasnye-chasti/koleso-dlya-panda-xp-na-telezhke/</t>
  </si>
  <si>
    <t>09972 MPVR S (06043/G/G5)</t>
  </si>
  <si>
    <t>Колесо для YVO</t>
  </si>
  <si>
    <t>https://him-auto.ru/pylesosy-pylevodososy-i-zapasnye-chasti/koleso-dlya-yvo/</t>
  </si>
  <si>
    <t>RTRT24322</t>
  </si>
  <si>
    <t>Колесо заднее 02896</t>
  </si>
  <si>
    <t>https://him-auto.ru/pylesosy-pylevodososy-i-zapasnye-chasti/koleso-zadnee-02896/</t>
  </si>
  <si>
    <t>03387 KTRI (00558/BL)</t>
  </si>
  <si>
    <t>Колесо мал. 200, 200 IDRO, 215, 300, 503</t>
  </si>
  <si>
    <t>https://him-auto.ru/pylesosy-pylevodososy-i-zapasnye-chasti/koleso-mal-200-200-idro-215-300-503/</t>
  </si>
  <si>
    <t>03722  KTRI S (02559/BL)</t>
  </si>
  <si>
    <t>Колесо маленькое для пылесосов на тележке</t>
  </si>
  <si>
    <t>https://him-auto.ru/pylesosy-pylevodososy-i-zapasnye-chasti/koleso-malenkoe-dlya-pylesosov-na-telezhke/</t>
  </si>
  <si>
    <t>BF570-23 (31000210056)</t>
  </si>
  <si>
    <t>Колесо поворотное</t>
  </si>
  <si>
    <t>https://him-auto.ru/pylesosy-pylevodososy-i-zapasnye-chasti/koleso-povorotnoe/</t>
  </si>
  <si>
    <t>03382 KTRI (00479 B/L)</t>
  </si>
  <si>
    <t>Колесо сред. 423, 429, 433, 629</t>
  </si>
  <si>
    <t>https://him-auto.ru/pylesosy-pylevodososy-i-zapasnye-chasti/koleso-sred-423-429-433-629/</t>
  </si>
  <si>
    <t>72234 VTDD S (00478)</t>
  </si>
  <si>
    <t>Колпачек для основания пылесоса</t>
  </si>
  <si>
    <t>https://him-auto.ru/pylesosy-pylevodososy-i-zapasnye-chasti/kolpachek-dlya-osnovaniya-pylesosa/</t>
  </si>
  <si>
    <t>88487 RCGR S (06413)</t>
  </si>
  <si>
    <t>Колпачек пеногасителя 200 IDRO</t>
  </si>
  <si>
    <t>https://him-auto.ru/pylesosy-pylevodososy-i-zapasnye-chasti/kolpachek-penogasitelya-200-idro/</t>
  </si>
  <si>
    <t>06772 MPVR S (06193)</t>
  </si>
  <si>
    <t>Кольцо дефлектора 200 IDRO</t>
  </si>
  <si>
    <t>https://him-auto.ru/pylesosy-pylevodososy-i-zapasnye-chasti/kolco-deflektora-200-idro/</t>
  </si>
  <si>
    <t>00382 GUVR (06192)</t>
  </si>
  <si>
    <t>https://him-auto.ru/pylesosy-pylevodososy-i-zapasnye-chasti/kolco-deflektora-200-idro/?sku=154924</t>
  </si>
  <si>
    <t>72029 GUGO S (01610)</t>
  </si>
  <si>
    <t>Кольцо для пылесоса</t>
  </si>
  <si>
    <t>https://him-auto.ru/pylesosy-pylevodososy-i-zapasnye-chasti/kolco-dlya-pylesosa/</t>
  </si>
  <si>
    <t>40077 GUVR (07799)</t>
  </si>
  <si>
    <t>https://him-auto.ru/pylesosy-pylevodososy-i-zapasnye-chasti/kolco-dlya-pylesosa/?sku=155007</t>
  </si>
  <si>
    <t>00168 VTRS S (03722)</t>
  </si>
  <si>
    <t>Кольцо насоса TORNADO 200</t>
  </si>
  <si>
    <t>https://him-auto.ru/pylesosy-pylevodososy-i-zapasnye-chasti/kolco-nasosa-tornado-200/</t>
  </si>
  <si>
    <t>35495 MPVR (00505)</t>
  </si>
  <si>
    <t>Кольцо синтепонового фильтра V 640 M</t>
  </si>
  <si>
    <t>https://him-auto.ru/pylesosy-pylevodososy-i-zapasnye-chasti/kolco-sinteponovogo-filtra-v-640-m/</t>
  </si>
  <si>
    <t>BF575-16 (31000110045)</t>
  </si>
  <si>
    <t>Кольцо фильтра мешка для BF 575</t>
  </si>
  <si>
    <t>https://him-auto.ru/pylesosy-pylevodososy-i-zapasnye-chasti/kolco-filtra-meshka-dlya-bf-575/</t>
  </si>
  <si>
    <t>BF570-16 (31000110045)</t>
  </si>
  <si>
    <t>Кольцо фильтра мешка для BF570</t>
  </si>
  <si>
    <t>https://him-auto.ru/pylesosy-pylevodososy-i-zapasnye-chasti/kolco-filtra-meshka-dlya-bf570/</t>
  </si>
  <si>
    <t>1214005300</t>
  </si>
  <si>
    <t>Комплект для сливного крана для бочки</t>
  </si>
  <si>
    <t>https://him-auto.ru/pylesosy-pylevodososy-i-zapasnye-chasti/komplekt-dlya-slivnogo-krana-dlya-bochki/</t>
  </si>
  <si>
    <t>3046005300</t>
  </si>
  <si>
    <t>Комплект для чистки ковров Ø 40</t>
  </si>
  <si>
    <t>https://him-auto.ru/pylesosy-pylevodososy-i-zapasnye-chasti/komplekt-dlya-chistki-kovrov-ø-40/</t>
  </si>
  <si>
    <t>1002037500</t>
  </si>
  <si>
    <t>Комплект сборки вторичного фильтра картридж HEPA</t>
  </si>
  <si>
    <t>https://him-auto.ru/pylesosy-pylevodososy-i-zapasnye-chasti/komplekt-sborki-vtorichnogo-filtra-kartridzh-hepa/</t>
  </si>
  <si>
    <t>СВ 056В-1</t>
  </si>
  <si>
    <t>Комплект трубок металлических (2шт комплект)</t>
  </si>
  <si>
    <t>https://him-auto.ru/pylesosy-pylevodososy-i-zapasnye-chasti/komplekt-trubok-metallicheskih-2sht-komplekt/</t>
  </si>
  <si>
    <t>10001-09375 (3208156200)</t>
  </si>
  <si>
    <t>Комплект шланга 3 м для масла</t>
  </si>
  <si>
    <t>https://him-auto.ru/pylesosy-pylevodososy-i-zapasnye-chasti/komplekt-shlanga-3-m-dlya-masla/</t>
  </si>
  <si>
    <t>1801004700</t>
  </si>
  <si>
    <t>Комплектующие патрубки Ø 50</t>
  </si>
  <si>
    <t>https://him-auto.ru/pylesosy-pylevodososy-i-zapasnye-chasti/komplektuyushchie-patrubki-ø-50/</t>
  </si>
  <si>
    <t>00084 MECO S (01110)</t>
  </si>
  <si>
    <t>Конденсатор для 504</t>
  </si>
  <si>
    <t>https://him-auto.ru/pylesosy-pylevodososy-i-zapasnye-chasti/kondensator-dlya-504/</t>
  </si>
  <si>
    <t>02227 MEVR S (01114/С)</t>
  </si>
  <si>
    <t>https://him-auto.ru/pylesosy-pylevodososy-i-zapasnye-chasti/kondensator-dlya-504/?sku=155038</t>
  </si>
  <si>
    <t>ACMA048F</t>
  </si>
  <si>
    <t>Конектор для шланга (бак)</t>
  </si>
  <si>
    <t>https://him-auto.ru/pylesosy-pylevodososy-i-zapasnye-chasti/konektor-dlya-shlanga-bak/</t>
  </si>
  <si>
    <t>ACMA048A</t>
  </si>
  <si>
    <t>Конектор для шланга (насадка)</t>
  </si>
  <si>
    <t>https://him-auto.ru/pylesosy-pylevodososy-i-zapasnye-chasti/konektor-dlya-shlanga-nasadka/</t>
  </si>
  <si>
    <t>09004 MPVR (02652 AG6 AR)</t>
  </si>
  <si>
    <t>Коннектор пылесоса для шланга</t>
  </si>
  <si>
    <t>https://him-auto.ru/pylesosy-pylevodososy-i-zapasnye-chasti/konnektor-pylesosa-dlya-shlanga/</t>
  </si>
  <si>
    <t>72109 MPVR (02652 ANE)</t>
  </si>
  <si>
    <t>https://him-auto.ru/pylesosy-pylevodososy-i-zapasnye-chasti/konnektor-pylesosa-dlya-shlanga/?sku=154986</t>
  </si>
  <si>
    <t>MPVR72109</t>
  </si>
  <si>
    <t>Коннектор пылесоса для шланга 02652ANE</t>
  </si>
  <si>
    <t>https://him-auto.ru/pylesosy-pylevodososy-i-zapasnye-chasti/konnektor-pylesosa-dlya-shlanga-02652ane/</t>
  </si>
  <si>
    <t>BF570-19 (22120590002)</t>
  </si>
  <si>
    <t>Коннектор разъем пылесос - шланг, вход BF570</t>
  </si>
  <si>
    <t>https://him-auto.ru/pylesosy-pylevodososy-i-zapasnye-chasti/konnektor-razem-pylesos-shlang-vhod-bf570/</t>
  </si>
  <si>
    <t>BF580-22 (22120590002)</t>
  </si>
  <si>
    <t>Коннектор разъем пылесос - шланг, вход BF580</t>
  </si>
  <si>
    <t>https://him-auto.ru/pylesosy-pylevodososy-i-zapasnye-chasti/konnektor-razem-pylesos-shlang-vhod-bf580/</t>
  </si>
  <si>
    <t>BF735 (27 Swivel guff)</t>
  </si>
  <si>
    <t>Коннектор шланг - насадка Д.40мм.</t>
  </si>
  <si>
    <t>https://him-auto.ru/pylesosy-pylevodososy-i-zapasnye-chasti/konnektor-shlang-nasadka-d40mm/</t>
  </si>
  <si>
    <t>A-056B-7 (25 House guff)</t>
  </si>
  <si>
    <t>Коннектор шланг - пылесос Д.40мм.</t>
  </si>
  <si>
    <t>https://him-auto.ru/pylesosy-pylevodososy-i-zapasnye-chasti/konnektor-shlang-pylesos-d40mm/</t>
  </si>
  <si>
    <t>1801003300</t>
  </si>
  <si>
    <t>Коннектор шланг-насадка Ø 40</t>
  </si>
  <si>
    <t>https://him-auto.ru/pylesosy-pylevodososy-i-zapasnye-chasti/konnektor-shlang-nasadka-ø-40/</t>
  </si>
  <si>
    <t>1801003200</t>
  </si>
  <si>
    <t>Коннектор шланг-пылесос Ø 40</t>
  </si>
  <si>
    <t>https://him-auto.ru/pylesosy-pylevodososy-i-zapasnye-chasti/konnektor-shlang-pylesos-ø-40/</t>
  </si>
  <si>
    <t>10001-10981 (3046026100)</t>
  </si>
  <si>
    <t>Коннектор щетки( новый образец) Кит Y21B</t>
  </si>
  <si>
    <t>https://him-auto.ru/pylesosy-pylevodososy-i-zapasnye-chasti/konnektor-shchetki-novyj-obrazec-kit-y21b/</t>
  </si>
  <si>
    <t>3206045200</t>
  </si>
  <si>
    <t>Корзина для поплавка оцинкованная</t>
  </si>
  <si>
    <t>https://him-auto.ru/pylesosy-pylevodososy-i-zapasnye-chasti/korzina-dlya-poplavka-ocinkovannaya/</t>
  </si>
  <si>
    <t>04828 PMVR S04829 PMVR (R20977 G65)</t>
  </si>
  <si>
    <t>Корпус бака YVO</t>
  </si>
  <si>
    <t>https://him-auto.ru/pylesosy-pylevodososy-i-zapasnye-chasti/korpus-baka-yvo/</t>
  </si>
  <si>
    <t>06771 MPVR S (06191)</t>
  </si>
  <si>
    <t>Корпус дефлектора 200 IDRO</t>
  </si>
  <si>
    <t>https://him-auto.ru/pylesosy-pylevodososy-i-zapasnye-chasti/korpus-deflektora-200-idro/</t>
  </si>
  <si>
    <t>28764 CEVR S (02968)</t>
  </si>
  <si>
    <t>Крепление для бака пылесоса</t>
  </si>
  <si>
    <t>https://him-auto.ru/pylesosy-pylevodososy-i-zapasnye-chasti/kreplenie-dlya-baka-pylesosa/</t>
  </si>
  <si>
    <t>1407008200</t>
  </si>
  <si>
    <t>Крепление к пылесосу из алюминия Ø 60-50</t>
  </si>
  <si>
    <t>https://him-auto.ru/pylesosy-pylevodososy-i-zapasnye-chasti/kreplenie-k-pylesosu-iz-alyuminiya-ø-60-50/</t>
  </si>
  <si>
    <t>06993 MPVR S (020233)</t>
  </si>
  <si>
    <t>Крепление тележки для бака пылесоса TORNADO</t>
  </si>
  <si>
    <t>https://him-auto.ru/pylesosy-pylevodososy-i-zapasnye-chasti/kreplenie-telezhki-dlya-baka-pylesosa-tornado/</t>
  </si>
  <si>
    <t>FITTING-TROLLEY</t>
  </si>
  <si>
    <t>Крепление тележки к баку пылесоса Комета</t>
  </si>
  <si>
    <t>https://him-auto.ru/pylesosy-pylevodososy-i-zapasnye-chasti/kreplenie-telezhki-k-baku-pylesosa-kometa/</t>
  </si>
  <si>
    <t>3046026200</t>
  </si>
  <si>
    <t>Круглая щетка для парогенератора HP D.27 ( 6.402.0009 )</t>
  </si>
  <si>
    <t>https://him-auto.ru/pylesosy-pylevodososy-i-zapasnye-chasti/kruglaya-shchetka-dlya-parogeneratora-hp-d27-64020009-/</t>
  </si>
  <si>
    <t>05949 PMVR (R6098 G6)</t>
  </si>
  <si>
    <t>Крышка PANDA 400</t>
  </si>
  <si>
    <t>https://him-auto.ru/pylesosy-pylevodososy-i-zapasnye-chasti/kryshka-panda-400/</t>
  </si>
  <si>
    <t>04923 PMVR S (R21464G6)</t>
  </si>
  <si>
    <t>Крышка верх 200, 200 IDRO, 300</t>
  </si>
  <si>
    <t>https://him-auto.ru/pylesosy-pylevodososy-i-zapasnye-chasti/kryshka-verh-200-200-idro-300/</t>
  </si>
  <si>
    <t>08286 MPVR S (020726 G6)</t>
  </si>
  <si>
    <t>Крышка верх 215, 503</t>
  </si>
  <si>
    <t>https://him-auto.ru/pylesosy-pylevodososy-i-zapasnye-chasti/kryshka-verh-215-503/</t>
  </si>
  <si>
    <t>08311 MPVR (020728 G6)</t>
  </si>
  <si>
    <t>Крышка верх TORNADO</t>
  </si>
  <si>
    <t>https://him-auto.ru/pylesosy-pylevodososy-i-zapasnye-chasti/kryshka-verh-tornado/</t>
  </si>
  <si>
    <t>04804 PMVR S (20728R G6 2I)</t>
  </si>
  <si>
    <t>Крышка верх TORNADO 423, 429, 623, 629, 700</t>
  </si>
  <si>
    <t>https://him-auto.ru/pylesosy-pylevodososy-i-zapasnye-chasti/kryshka-verh-tornado-423-429-623-629-700/</t>
  </si>
  <si>
    <t>04806 PMVR (20728R G6 3I)</t>
  </si>
  <si>
    <t>Крышка верх TORNADO 433, 633</t>
  </si>
  <si>
    <t>https://him-auto.ru/pylesosy-pylevodososy-i-zapasnye-chasti/kryshka-verh-tornado-433-633/</t>
  </si>
  <si>
    <t>09715 MPVR S (03734 G6)</t>
  </si>
  <si>
    <t>Крышка верхняя 215 PANDA XP</t>
  </si>
  <si>
    <t>https://him-auto.ru/pylesosy-pylevodososy-i-zapasnye-chasti/kryshka-verhnyaya-215-panda-xp/</t>
  </si>
  <si>
    <t>05614 PMVR (R3734 SKG6)</t>
  </si>
  <si>
    <t>Крышка верхняя 215 SMALL PANDA XP</t>
  </si>
  <si>
    <t>https://him-auto.ru/pylesosy-pylevodososy-i-zapasnye-chasti/kryshka-verhnyaya-215-small-panda-xp/</t>
  </si>
  <si>
    <t>05964 PMVR (R6099 G6)</t>
  </si>
  <si>
    <t>Крышка верхняя для PANDA</t>
  </si>
  <si>
    <t>https://him-auto.ru/pylesosy-pylevodososy-i-zapasnye-chasti/kryshka-verhnyaya-dlya-panda/</t>
  </si>
  <si>
    <t>08503 MPVR S (021768AR)</t>
  </si>
  <si>
    <t>Крышка зам. для 02957 AR</t>
  </si>
  <si>
    <t>https://him-auto.ru/pylesosy-pylevodososy-i-zapasnye-chasti/kryshka-zam-dlya-02957-ar/</t>
  </si>
  <si>
    <t>PMVR05395/03051G5</t>
  </si>
  <si>
    <t>Крышка корпуса MEC 600 2M. GR5000</t>
  </si>
  <si>
    <t>https://him-auto.ru/pylesosy-pylevodososy-i-zapasnye-chasti/kryshka-korpusa-mec-600-2m-gr5000/</t>
  </si>
  <si>
    <t>05053 PMVR (R2633AR)</t>
  </si>
  <si>
    <t>Крышка проставка 200, 200 IDRO, 300</t>
  </si>
  <si>
    <t>https://him-auto.ru/pylesosy-pylevodososy-i-zapasnye-chasti/kryshka-prostavka-200-200-idro-300/</t>
  </si>
  <si>
    <t>12686 MPVR</t>
  </si>
  <si>
    <t>Крышка проставка 215, 503</t>
  </si>
  <si>
    <t>https://him-auto.ru/pylesosy-pylevodososy-i-zapasnye-chasti/kryshka-prostavka-215-503/</t>
  </si>
  <si>
    <t>09099 MPVR S (02738-1AR)</t>
  </si>
  <si>
    <t>https://him-auto.ru/pylesosy-pylevodososy-i-zapasnye-chasti/kryshka-prostavka-215-503/?sku=155041</t>
  </si>
  <si>
    <t>02957 AR021768AR</t>
  </si>
  <si>
    <t>Крышка проставка 423, 429, 433, 623, 629, 633</t>
  </si>
  <si>
    <t>https://him-auto.ru/pylesosy-pylevodososy-i-zapasnye-chasti/kryshka-prostavka-423-429-433-623-629-633/</t>
  </si>
  <si>
    <t>08415 MPVR S (021261G6)</t>
  </si>
  <si>
    <t>Крышка проставка низ. TORNADO 215, 503</t>
  </si>
  <si>
    <t>https://him-auto.ru/pylesosy-pylevodososy-i-zapasnye-chasti/kryshka-prostavka-niz-tornado-215-503/</t>
  </si>
  <si>
    <t>MPVR28723</t>
  </si>
  <si>
    <t>Крышка фильтра тонкой очистки д.175 02855</t>
  </si>
  <si>
    <t>https://him-auto.ru/pylesosy-pylevodososy-i-zapasnye-chasti/kryshka-filtra-tonkoj-ochistki-d175-02855/</t>
  </si>
  <si>
    <t>86949 RCGR (00726)</t>
  </si>
  <si>
    <t>Курок для насадки 00752 (химчистка)</t>
  </si>
  <si>
    <t>https://him-auto.ru/pylesosy-pylevodososy-i-zapasnye-chasti/kurok-dlya-nasadki-00752-himchistka/</t>
  </si>
  <si>
    <t>MXT -3041/10</t>
  </si>
  <si>
    <t>Мешки для пылесоса Comet синтетические ( упаковка 10 шт) для  CVP 265, 278, 378, СVС 150, 287</t>
  </si>
  <si>
    <t>https://him-auto.ru/pylesosy-pylevodososy-i-zapasnye-chasti/meshki-dlya-pylesosa-comet-sinteticheskie-upakovka-10-sht-dlya-cvp-265-278-378-svs-150-287/</t>
  </si>
  <si>
    <t>СP-225/3</t>
  </si>
  <si>
    <t>Мешки для пылесоса Comet синтетические ( упаковка 3 шт) для CV 20, 30, 50, СVP 112, 120,130.</t>
  </si>
  <si>
    <t>https://him-auto.ru/pylesosy-pylevodososy-i-zapasnye-chasti/meshki-dlya-pylesosa-comet-sinteticheskie-upakovka-3-sht-dlya-cv-20-30-50-svp-112-120130/</t>
  </si>
  <si>
    <t>3050002500</t>
  </si>
  <si>
    <t>Мешки из микрофибры комплект 10 шт.</t>
  </si>
  <si>
    <t>https://him-auto.ru/pylesosy-pylevodososy-i-zapasnye-chasti/meshki-iz-mikrofibry-komplekt-10-sht/</t>
  </si>
  <si>
    <t>3050002000</t>
  </si>
  <si>
    <t>Мешки из микрофибры комплект 5 шт.</t>
  </si>
  <si>
    <t>https://him-auto.ru/pylesosy-pylevodososy-i-zapasnye-chasti/meshki-iz-mikrofibry-komplekt-5-sht/</t>
  </si>
  <si>
    <t>212106A</t>
  </si>
  <si>
    <t>Мешок для Planet 100 KTRI03175</t>
  </si>
  <si>
    <t>https://him-auto.ru/pylesosy-pylevodososy-i-zapasnye-chasti/meshok-dlya-planet-100-ktri03175/</t>
  </si>
  <si>
    <t>1002026100</t>
  </si>
  <si>
    <t>Мешок для сбора пыли из микрофибры CM 12 S FREE; к-т 3 шт.</t>
  </si>
  <si>
    <t>https://him-auto.ru/pylesosy-pylevodososy-i-zapasnye-chasti/meshok-dlya-sbora-pyli-iz-mikrofibry-cm-12-s-free-k-t-3-sht/</t>
  </si>
  <si>
    <t>00462 FTDP</t>
  </si>
  <si>
    <t>Мешок из микрофибры для GS 3/78</t>
  </si>
  <si>
    <t>https://him-auto.ru/pylesosy-pylevodososy-i-zapasnye-chasti/meshok-iz-mikrofibry-dlya-gs-378/</t>
  </si>
  <si>
    <t>05962 KTRI</t>
  </si>
  <si>
    <t>Мешок Фильтр воздушный для TORNADO YS 1-20 W&amp;D TC</t>
  </si>
  <si>
    <t>https://him-auto.ru/pylesosy-pylevodososy-i-zapasnye-chasti/meshok-filtr-vozdushnyj-dlya-tornado-ys-1-20-wd-tc/</t>
  </si>
  <si>
    <t>1831078100 (0.965.0016)</t>
  </si>
  <si>
    <t>Мотор вакуумный турбина 1100 Вт 230В JUPITER</t>
  </si>
  <si>
    <t>https://him-auto.ru/pylesosy-pylevodososy-i-zapasnye-chasti/motor-vakuumnyj-turbina-1100-vt-230v-jupiter/</t>
  </si>
  <si>
    <t>1831073400</t>
  </si>
  <si>
    <t>Мотор вакуумный турбина 1200 Вт 230В CVP 112 Quiet, Wisper</t>
  </si>
  <si>
    <t>https://him-auto.ru/pylesosy-pylevodososy-i-zapasnye-chasti/motor-vakuumnyj-turbina-1200-vt-230v-cvp-112-quiet-wisper/</t>
  </si>
  <si>
    <t>1831071500</t>
  </si>
  <si>
    <t>Мотор вакуумный турбина с прокладками 1200 Вт 230В, CV 20 S CM 30 S</t>
  </si>
  <si>
    <t>https://him-auto.ru/pylesosy-pylevodososy-i-zapasnye-chasti/motor-vakuumnyj-turbina-s-prokladkami-1200-vt-230v-cv-20-s-cm-30-s/</t>
  </si>
  <si>
    <t>ACBL100PO/C</t>
  </si>
  <si>
    <t>Моющая насадка для мебели</t>
  </si>
  <si>
    <t>https://him-auto.ru/pylesosy-pylevodososy-i-zapasnye-chasti/moyushchaya-nasadka-dlya-mebeli/</t>
  </si>
  <si>
    <t>ACBL 095 PO</t>
  </si>
  <si>
    <t>Моющая насадка для мебели, d 37</t>
  </si>
  <si>
    <t>https://him-auto.ru/pylesosy-pylevodososy-i-zapasnye-chasti/moyushchaya-nasadka-dlya-mebeli-d-37/</t>
  </si>
  <si>
    <t>30060 MPVR</t>
  </si>
  <si>
    <t>Моющая насадка для химчистки (без курка и шланга для химии)</t>
  </si>
  <si>
    <t>https://him-auto.ru/pylesosy-pylevodososy-i-zapasnye-chasti/moyushchaya-nasadka-dlya-himchistki-bez-kurka-i-shlanga-dlya-himii/</t>
  </si>
  <si>
    <t>EWIV125Y</t>
  </si>
  <si>
    <t>Моющий пылесос ESTRO EWIV125Y INOX</t>
  </si>
  <si>
    <t>https://him-auto.ru/pylesosy-pylevodososy-i-zapasnye-chasti/moyushchij-pylesos-estro-ewiv125y-inox/</t>
  </si>
  <si>
    <t>EWPV125Y</t>
  </si>
  <si>
    <t>Моющий пылесос ESTRO EWPV125Y</t>
  </si>
  <si>
    <t>https://him-auto.ru/pylesosy-pylevodososy-i-zapasnye-chasti/moyushchij-pylesos-estro-ewpv125y/</t>
  </si>
  <si>
    <t>EWPV330Y</t>
  </si>
  <si>
    <t>Моющий пылесос ESTRO EWPV330Y</t>
  </si>
  <si>
    <t>https://him-auto.ru/pylesosy-pylevodososy-i-zapasnye-chasti/moyushchij-pylesos-estro-ewpv330y/</t>
  </si>
  <si>
    <t>EWPV11020FOM</t>
  </si>
  <si>
    <t>Моющий пылесос ESTRO WPV110</t>
  </si>
  <si>
    <t>https://him-auto.ru/pylesosy-pylevodososy-i-zapasnye-chasti/moyushchij-pylesos-estro-wpv110/</t>
  </si>
  <si>
    <t>ASDO 40034</t>
  </si>
  <si>
    <t>Моющий пылесос PLUS 1 W 1 22 P</t>
  </si>
  <si>
    <t>https://him-auto.ru/pylesosy-pylevodososy-i-zapasnye-chasti/moyushchij-pylesos-plus-1-w-1-22-p/</t>
  </si>
  <si>
    <t>ASDO 40035</t>
  </si>
  <si>
    <t>Моющий пылесос PLUS 1 W 1 32 S</t>
  </si>
  <si>
    <t>https://him-auto.ru/pylesosy-pylevodososy-i-zapasnye-chasti/moyushchij-pylesos-plus-1-w-1-32-s/</t>
  </si>
  <si>
    <t>ASDO 40036</t>
  </si>
  <si>
    <t>Моющий пылесос PLUS 1 W 2 60 S GA</t>
  </si>
  <si>
    <t>https://him-auto.ru/pylesosy-pylevodososy-i-zapasnye-chasti/moyushchij-pylesos-plus-1-w-2-60-s-ga/</t>
  </si>
  <si>
    <t>LC-20SC</t>
  </si>
  <si>
    <t>Моющий пылесос TOR LC-20SC</t>
  </si>
  <si>
    <t>https://him-auto.ru/pylesosy-pylevodososy-i-zapasnye-chasti/moyushchij-pylesos-tor-lc-20sc/</t>
  </si>
  <si>
    <t>LC-20SC GA</t>
  </si>
  <si>
    <t>Моющий пылесос TOR LC-20SC GA (автомобильная комплектация)</t>
  </si>
  <si>
    <t>https://him-auto.ru/pylesosy-pylevodososy-i-zapasnye-chasti/moyushchij-pylesos-tor-lc-20sc-ga-avtomobilnaya-komplektaciya/</t>
  </si>
  <si>
    <t>LC-30SC</t>
  </si>
  <si>
    <t>Моющий пылесос TOR LC-30SC</t>
  </si>
  <si>
    <t>https://him-auto.ru/pylesosy-pylevodososy-i-zapasnye-chasti/moyushchij-pylesos-tor-lc-30sc/</t>
  </si>
  <si>
    <t>LC-30SC GA</t>
  </si>
  <si>
    <t>Моющий пылесос TOR LC-30SC GA (автомобильная комплектация)</t>
  </si>
  <si>
    <t>https://him-auto.ru/pylesosy-pylevodososy-i-zapasnye-chasti/moyushchij-pylesos-tor-lc-30sc-ga-avtomobilnaya-komplektaciya/</t>
  </si>
  <si>
    <t>LC-40SC</t>
  </si>
  <si>
    <t>Моющий пылесос TOR LC-40SC</t>
  </si>
  <si>
    <t>https://him-auto.ru/pylesosy-pylevodososy-i-zapasnye-chasti/moyushchij-pylesos-tor-lc-40sc/</t>
  </si>
  <si>
    <t>LC-40SC GA</t>
  </si>
  <si>
    <t>Моющий пылесос TOR LC-40SC GA (автомобильная комплектация)</t>
  </si>
  <si>
    <t>https://him-auto.ru/pylesosy-pylevodososy-i-zapasnye-chasti/moyushchij-pylesos-tor-lc-40sc-ga-avtomobilnaya-komplektaciya/</t>
  </si>
  <si>
    <t>LC-602SC</t>
  </si>
  <si>
    <t>Моющий пылесос TOR LC-602SC</t>
  </si>
  <si>
    <t>https://him-auto.ru/pylesosy-pylevodososy-i-zapasnye-chasti/moyushchij-pylesos-tor-lc-602sc/</t>
  </si>
  <si>
    <t>LC-802SC</t>
  </si>
  <si>
    <t>Моющий пылесос TOR LC-802SC</t>
  </si>
  <si>
    <t>https://him-auto.ru/pylesosy-pylevodososy-i-zapasnye-chasti/moyushchij-pylesos-tor-lc-802sc/</t>
  </si>
  <si>
    <t>RL208</t>
  </si>
  <si>
    <t>Моющий пылесос TOR RL 208</t>
  </si>
  <si>
    <t>https://him-auto.ru/pylesosy-pylevodososy-i-zapasnye-chasti/moyushchij-pylesos-tor-rl-208/</t>
  </si>
  <si>
    <t>05803 ASDO</t>
  </si>
  <si>
    <t>Моющий пылесос TORNADO 200</t>
  </si>
  <si>
    <t>https://him-auto.ru/pylesosy-pylevodososy-i-zapasnye-chasti/moyushchij-pylesos-tornado-200/</t>
  </si>
  <si>
    <t>05804 ASDO</t>
  </si>
  <si>
    <t>Моющий пылесос TORNADO 200 (с водяным фильтром)</t>
  </si>
  <si>
    <t>https://him-auto.ru/pylesosy-pylevodososy-i-zapasnye-chasti/moyushchij-pylesos-tornado-200-s-vodyanym-filtrom/</t>
  </si>
  <si>
    <t>13712 ASDO</t>
  </si>
  <si>
    <t>Моющий пылесос TORNADO 200 GA</t>
  </si>
  <si>
    <t>https://him-auto.ru/pylesosy-pylevodososy-i-zapasnye-chasti/moyushchij-pylesos-tornado-200-ga/</t>
  </si>
  <si>
    <t>13713 ASDO</t>
  </si>
  <si>
    <t>Моющий пылесос TORNADO 300 GA</t>
  </si>
  <si>
    <t>https://him-auto.ru/pylesosy-pylevodososy-i-zapasnye-chasti/moyushchij-pylesos-tornado-300-ga/</t>
  </si>
  <si>
    <t>05811 ASDO</t>
  </si>
  <si>
    <t>Моющий пылесос TORNADO 300 Inox</t>
  </si>
  <si>
    <t>https://him-auto.ru/pylesosy-pylevodososy-i-zapasnye-chasti/moyushchij-pylesos-tornado-300-inox/</t>
  </si>
  <si>
    <t>05820 ASDO</t>
  </si>
  <si>
    <t>Моющий пылесос TORNADO 700 Inox</t>
  </si>
  <si>
    <t>https://him-auto.ru/pylesosy-pylevodososy-i-zapasnye-chasti/moyushchij-pylesos-tornado-700-inox/</t>
  </si>
  <si>
    <t>13846 ASDO</t>
  </si>
  <si>
    <t>Моющий пылесос TORNADO GAMMA 300</t>
  </si>
  <si>
    <t>https://him-auto.ru/pylesosy-pylevodososy-i-zapasnye-chasti/moyushchij-pylesos-tornado-gamma-300/</t>
  </si>
  <si>
    <t>13847 ASDO</t>
  </si>
  <si>
    <t>Моющий пылесос TORNADO GS2/62EXT GA</t>
  </si>
  <si>
    <t>https://him-auto.ru/pylesosy-pylevodososy-i-zapasnye-chasti/moyushchij-pylesos-tornado-gs262ext-ga/</t>
  </si>
  <si>
    <t>02556 PMVR S (06198)</t>
  </si>
  <si>
    <t>Муфта всборе 200 IDRO</t>
  </si>
  <si>
    <t>https://him-auto.ru/pylesosy-pylevodososy-i-zapasnye-chasti/mufta-vsbore-200-idro/</t>
  </si>
  <si>
    <t>10430 MPVR (R 2653 NE)</t>
  </si>
  <si>
    <t>Муфта пылесоса для крепления шланга D38</t>
  </si>
  <si>
    <t>https://him-auto.ru/pylesosy-pylevodososy-i-zapasnye-chasti/mufta-pylesosa-dlya-krepleniya-shlanga-d38/</t>
  </si>
  <si>
    <t>86538 MPVR (R6694)</t>
  </si>
  <si>
    <t>Муфта соед. (пылесос-шланг) химчистка, 38мм - диаметр</t>
  </si>
  <si>
    <t>https://him-auto.ru/pylesosy-pylevodososy-i-zapasnye-chasti/mufta-soed-pylesos-shlang-himchistka-38mm-diametr/</t>
  </si>
  <si>
    <t>07479 MPVR (00084)</t>
  </si>
  <si>
    <t>Муфта соед. (пылесос-шланг), 38мм - диаметр</t>
  </si>
  <si>
    <t>https://him-auto.ru/pylesosy-pylevodososy-i-zapasnye-chasti/mufta-soed-pylesos-shlang-38mm-diametr/</t>
  </si>
  <si>
    <t>87079 MPVR (R6693)</t>
  </si>
  <si>
    <t>Муфта соед. (шланг-насадка) химчистка, 38мм - диаметр</t>
  </si>
  <si>
    <t>https://him-auto.ru/pylesosy-pylevodososy-i-zapasnye-chasti/mufta-soed-shlang-nasadka-himchistka-38mm-diametr/</t>
  </si>
  <si>
    <t>72235 MPVR (00048)</t>
  </si>
  <si>
    <t>Муфта соед. (шланг-шланг), 36мм - диаметр</t>
  </si>
  <si>
    <t>https://him-auto.ru/pylesosy-pylevodososy-i-zapasnye-chasti/mufta-soed-shlang-shlang-36mm-diametr/</t>
  </si>
  <si>
    <t>72230 MPVR (00047)</t>
  </si>
  <si>
    <t>Муфта соед. (шланг-шланг), 38мм - диаметр</t>
  </si>
  <si>
    <t>https://him-auto.ru/pylesosy-pylevodososy-i-zapasnye-chasti/mufta-soed-shlang-shlang-38mm-diametr/</t>
  </si>
  <si>
    <t>72221 RCVR (03928)</t>
  </si>
  <si>
    <t>Муфта соед. вращающаяся (шланг-насадка), 38мм - диаметр</t>
  </si>
  <si>
    <t>https://him-auto.ru/pylesosy-pylevodososy-i-zapasnye-chasti/mufta-soed-vrashchayushchayasya-shlang-nasadka-38mm-diametr/</t>
  </si>
  <si>
    <t>07485 MPVR (00090)</t>
  </si>
  <si>
    <t>Муфта соед.(пылесос-шланг), 36мм - диаметр</t>
  </si>
  <si>
    <t>https://him-auto.ru/pylesosy-pylevodososy-i-zapasnye-chasti/mufta-soedpylesos-shlang-36mm-diametr/</t>
  </si>
  <si>
    <t>03348 KTRI (00090/BL)</t>
  </si>
  <si>
    <t>https://him-auto.ru/pylesosy-pylevodososy-i-zapasnye-chasti/mufta-soedpylesos-shlang-36mm-diametr/?sku=155005</t>
  </si>
  <si>
    <t>00090 MPVR (00622)</t>
  </si>
  <si>
    <t>Муфта соед.(шланг-насадка), 36мм - диаметр</t>
  </si>
  <si>
    <t>https://him-auto.ru/pylesosy-pylevodososy-i-zapasnye-chasti/mufta-soedshlang-nasadka-36mm-diametr/</t>
  </si>
  <si>
    <t>00163 MPVR (00083)</t>
  </si>
  <si>
    <t>Муфта соед.(шланг-насадка), 38мм - диаметр</t>
  </si>
  <si>
    <t>https://him-auto.ru/pylesosy-pylevodososy-i-zapasnye-chasti/mufta-soedshlang-nasadka-38mm-diametr/</t>
  </si>
  <si>
    <t>48</t>
  </si>
  <si>
    <t>Муфта соединительная (D36)</t>
  </si>
  <si>
    <t>https://him-auto.ru/pylesosy-pylevodososy-i-zapasnye-chasti/mufta-soedinitelnaya-d36/</t>
  </si>
  <si>
    <t>MPVR72230</t>
  </si>
  <si>
    <t>Муфта соединительная (D38) 00047</t>
  </si>
  <si>
    <t>https://him-auto.ru/pylesosy-pylevodososy-i-zapasnye-chasti/mufta-soedinitelnaya-d38-00047/</t>
  </si>
  <si>
    <t>MPVR00090</t>
  </si>
  <si>
    <t>Муфта соединительная шланга-насадка (D36) 00622</t>
  </si>
  <si>
    <t>https://him-auto.ru/pylesosy-pylevodososy-i-zapasnye-chasti/mufta-soedinitelnaya-shlanga-nasadka-d36-00622/</t>
  </si>
  <si>
    <t>MPVR00163</t>
  </si>
  <si>
    <t>Муфта соединительная шланга-насадка (D38) 00083</t>
  </si>
  <si>
    <t>https://him-auto.ru/pylesosy-pylevodososy-i-zapasnye-chasti/mufta-soedinitelnaya-shlanga-nasadka-d38-00083/</t>
  </si>
  <si>
    <t>KTRI03348</t>
  </si>
  <si>
    <t>Муфта соединительная шланга-пылесос (D36) 00090/BL</t>
  </si>
  <si>
    <t>https://him-auto.ru/pylesosy-pylevodososy-i-zapasnye-chasti/mufta-soedinitelnaya-shlanga-pylesos-d36-00090bl/</t>
  </si>
  <si>
    <t>MPVR07479</t>
  </si>
  <si>
    <t>Муфта соединительная шланга-пылесос (D38) 00084 OR</t>
  </si>
  <si>
    <t>https://him-auto.ru/pylesosy-pylevodososy-i-zapasnye-chasti/mufta-soedinitelnaya-shlanga-pylesos-d38-00084-or/</t>
  </si>
  <si>
    <t>28254 KTRI (R2772)</t>
  </si>
  <si>
    <t>Набор для сухой уборки TORNADO 300</t>
  </si>
  <si>
    <t>https://him-auto.ru/pylesosy-pylevodososy-i-zapasnye-chasti/nabor-dlya-suhoj-uborki-tornado-300/</t>
  </si>
  <si>
    <t>RCVR72221</t>
  </si>
  <si>
    <t>Наконечник на шланг(D40) 03928</t>
  </si>
  <si>
    <t>https://him-auto.ru/pylesosy-pylevodososy-i-zapasnye-chasti/nakonechnik-na-shlangd40-03928/</t>
  </si>
  <si>
    <t>1603015900</t>
  </si>
  <si>
    <t>Наконечник, укомплектованный шлангом Ø 25 8 м для слива жидкостей</t>
  </si>
  <si>
    <t>https://him-auto.ru/pylesosy-pylevodososy-i-zapasnye-chasti/nakonechnik-ukomplektovannyj-shlangom-ø-25-8-m-dlya-sliva-zhidkostej/</t>
  </si>
  <si>
    <t>49585 SPPV S (R7242)</t>
  </si>
  <si>
    <t>Насадка 50мм - диаметр</t>
  </si>
  <si>
    <t>https://him-auto.ru/pylesosy-pylevodososy-i-zapasnye-chasti/nasadka-50mm-diametr/</t>
  </si>
  <si>
    <t>2803071600</t>
  </si>
  <si>
    <t>Насадка адаптер для электроинструмента 132 мм</t>
  </si>
  <si>
    <t>https://him-auto.ru/pylesosy-pylevodososy-i-zapasnye-chasti/nasadka-adapter-dlya-ehlektroinstrumenta-132-mm/</t>
  </si>
  <si>
    <t>28248 SPPV (0042R)</t>
  </si>
  <si>
    <t>Насадка влажная уборка (балка всасывающая), 38мм - диаметр</t>
  </si>
  <si>
    <t>https://him-auto.ru/pylesosy-pylevodososy-i-zapasnye-chasti/nasadka-vlazhnaya-uborka-balka-vsasyvayushchaya-38mm-diametr/</t>
  </si>
  <si>
    <t>5.209.0193 (5.209.0186)</t>
  </si>
  <si>
    <t>Насадка для  мягкой мебели для моющего пылесоса GP 20</t>
  </si>
  <si>
    <t>https://him-auto.ru/pylesosy-pylevodososy-i-zapasnye-chasti/nasadka-dlya-myagkoj-mebeli-dlya-moyushchego-pylesosa-gp-20/</t>
  </si>
  <si>
    <t>00080-03140 (3400081500)</t>
  </si>
  <si>
    <t>Насадка для мебели с распылителем для Jupiter</t>
  </si>
  <si>
    <t>https://him-auto.ru/pylesosy-pylevodososy-i-zapasnye-chasti/nasadka-dlya-mebeli-s-raspylitelem-dlya-jupiter/</t>
  </si>
  <si>
    <t>3046004600</t>
  </si>
  <si>
    <t>Насадка для мебели ширина 140 мм Ø 35</t>
  </si>
  <si>
    <t>https://him-auto.ru/pylesosy-pylevodososy-i-zapasnye-chasti/nasadka-dlya-mebeli-shirina-140-mm-ø-35/</t>
  </si>
  <si>
    <t>3400083000</t>
  </si>
  <si>
    <t>Насадка для напольных покрытий</t>
  </si>
  <si>
    <t>https://him-auto.ru/pylesosy-pylevodososy-i-zapasnye-chasti/nasadka-dlya-napolnyh-pokrytij/</t>
  </si>
  <si>
    <t>SPPV40311</t>
  </si>
  <si>
    <t>Насадка для обивки (D36) 06174</t>
  </si>
  <si>
    <t>https://him-auto.ru/pylesosy-pylevodososy-i-zapasnye-chasti/nasadka-dlya-obivki-d36-06174/</t>
  </si>
  <si>
    <t>SPPV28251</t>
  </si>
  <si>
    <t>Насадка для обивки 00752/OTT</t>
  </si>
  <si>
    <t>https://him-auto.ru/pylesosy-pylevodososy-i-zapasnye-chasti/nasadka-dlya-obivki-00752ott/</t>
  </si>
  <si>
    <t>40837 PMUR (02737)</t>
  </si>
  <si>
    <t>Насадка для подключения эл.инструмента к 504</t>
  </si>
  <si>
    <t>https://him-auto.ru/pylesosy-pylevodososy-i-zapasnye-chasti/nasadka-dlya-podklyucheniya-ehlinstrumenta-k-504/</t>
  </si>
  <si>
    <t>01765 SPPV02579 SPPV (00632 К)</t>
  </si>
  <si>
    <t>Насадка для пола для "FOX"</t>
  </si>
  <si>
    <t>https://him-auto.ru/pylesosy-pylevodososy-i-zapasnye-chasti/nasadka-dlya-pola-dlya-fox/</t>
  </si>
  <si>
    <t>85410 SPPV (03967 G)</t>
  </si>
  <si>
    <t>Насадка для пола для "YVO" (щетина+сгоны)</t>
  </si>
  <si>
    <t>https://him-auto.ru/pylesosy-pylevodososy-i-zapasnye-chasti/nasadka-dlya-pola-dlya-yvo-shchetinasgony/</t>
  </si>
  <si>
    <t>86380 MPVR S (2706R)</t>
  </si>
  <si>
    <t>Насадка для пола/химчистки (без курка, с шлангом для химии), 36мм</t>
  </si>
  <si>
    <t>https://him-auto.ru/pylesosy-pylevodososy-i-zapasnye-chasti/nasadka-dlya-polahimchistki-bez-kurka-s-shlangom-dlya-himii-36mm/</t>
  </si>
  <si>
    <t>72123 SPPV (2725R)</t>
  </si>
  <si>
    <t>Насадка для пола/химчистки (набор-трубка изогнутая, трубка изогнутая с курком, прямая трубка, насадка с шлангом для химии, стяжки резиновые), 36мм</t>
  </si>
  <si>
    <t>https://him-auto.ru/pylesosy-pylevodososy-i-zapasnye-chasti/nasadka-dlya-polahimchistki-nabor-trubka-izognutaya-trubka-izognutaya-s-kurkom-pryamaya-trubka-nasadka-s-shlangom-dlya-himii-styazhki-rezinovye-36mm/</t>
  </si>
  <si>
    <t>85446 SPPV (R 6179)</t>
  </si>
  <si>
    <t>Насадка для пола/химчистки, 36мм - диаметр</t>
  </si>
  <si>
    <t>https://him-auto.ru/pylesosy-pylevodososy-i-zapasnye-chasti/nasadka-dlya-polahimchistki-36mm-diametr/</t>
  </si>
  <si>
    <t>28781 SPPV (R 6407)</t>
  </si>
  <si>
    <t>Насадка для пола/химчистки, 38мм - диаметр</t>
  </si>
  <si>
    <t>https://him-auto.ru/pylesosy-pylevodososy-i-zapasnye-chasti/nasadka-dlya-polahimchistki-38mm-diametr/</t>
  </si>
  <si>
    <t>3046003900</t>
  </si>
  <si>
    <t>Насадка для сбора влаги Ø 35</t>
  </si>
  <si>
    <t>https://him-auto.ru/pylesosy-pylevodososy-i-zapasnye-chasti/nasadka-dlya-sbora-vlagi-ø-35/</t>
  </si>
  <si>
    <t>BF738</t>
  </si>
  <si>
    <t>Насадка для сбора влаги; длина 43см Д.40мм.</t>
  </si>
  <si>
    <t>https://him-auto.ru/pylesosy-pylevodososy-i-zapasnye-chasti/nasadka-dlya-sbora-vlagi-dlina-43sm-d40mm/</t>
  </si>
  <si>
    <t>3046004000</t>
  </si>
  <si>
    <t>Насадка для сбора загрязнений с тремя вставками Ø 35</t>
  </si>
  <si>
    <t>https://him-auto.ru/pylesosy-pylevodososy-i-zapasnye-chasti/nasadka-dlya-sbora-zagryaznenij-s-tremya-vstavkami-ø-35/</t>
  </si>
  <si>
    <t>BF738A</t>
  </si>
  <si>
    <t>Насадка для сбора пыли 39 см; Д.40мм.</t>
  </si>
  <si>
    <t>https://him-auto.ru/pylesosy-pylevodososy-i-zapasnye-chasti/nasadka-dlya-sbora-pyli-39-sm-d40mm/</t>
  </si>
  <si>
    <t>3206017700</t>
  </si>
  <si>
    <t>Насадка для сбора пыли L-300 мм Ø 35</t>
  </si>
  <si>
    <t>https://him-auto.ru/pylesosy-pylevodososy-i-zapasnye-chasti/nasadka-dlya-sbora-pyli-l-300-mm-ø-35/</t>
  </si>
  <si>
    <t>3206017800</t>
  </si>
  <si>
    <t>Насадка для сбора пыли L-400 мм Ø 40 без щеток и стяжек</t>
  </si>
  <si>
    <t>https://him-auto.ru/pylesosy-pylevodososy-i-zapasnye-chasti/nasadka-dlya-sbora-pyli-l-400-mm-ø-40-bez-shchetok-i-styazhek/</t>
  </si>
  <si>
    <t>00080-04097 (3046017800)</t>
  </si>
  <si>
    <t>Насадка для сбора пыли из нержавеющей стали Ø 50</t>
  </si>
  <si>
    <t>https://him-auto.ru/pylesosy-pylevodososy-i-zapasnye-chasti/nasadka-dlya-sbora-pyli-iz-nerzhaveyushchej-stali-ø-50/</t>
  </si>
  <si>
    <t>3046004400</t>
  </si>
  <si>
    <t>Насадка для сбора пыли широкая для полов/ковров с переключателем и колесами Ø 35</t>
  </si>
  <si>
    <t>https://him-auto.ru/pylesosy-pylevodososy-i-zapasnye-chasti/nasadka-dlya-sbora-pyli-shirokaya-dlya-polovkovrov-s-pereklyuchatelem-i-kolesami-ø-35/</t>
  </si>
  <si>
    <t>3046004100</t>
  </si>
  <si>
    <t>Насадка для сбора пыли широкая с переключателем для полов/ковров без колес Ø 35</t>
  </si>
  <si>
    <t>https://him-auto.ru/pylesosy-pylevodososy-i-zapasnye-chasti/nasadka-dlya-sbora-pyli-shirokaya-s-pereklyuchatelem-dlya-polovkovrov-bez-koles-ø-35/</t>
  </si>
  <si>
    <t>3046012400</t>
  </si>
  <si>
    <t>Насадка для сбора пыли широкая с переключателем на колесах L 300 мм Ø 35</t>
  </si>
  <si>
    <t>https://him-auto.ru/pylesosy-pylevodososy-i-zapasnye-chasti/nasadka-dlya-sbora-pyli-shirokaya-s-pereklyuchatelem-na-kolesah-l-300-mm-ø-35/</t>
  </si>
  <si>
    <t>BF739</t>
  </si>
  <si>
    <t>Насадка для сбора пыли; Д.40мм.</t>
  </si>
  <si>
    <t>https://him-auto.ru/pylesosy-pylevodososy-i-zapasnye-chasti/nasadka-dlya-sbora-pyli-d40mm/</t>
  </si>
  <si>
    <t>A-056B-3</t>
  </si>
  <si>
    <t>https://him-auto.ru/pylesosy-pylevodososy-i-zapasnye-chasti/nasadka-dlya-sbora-pyli-d40mm/?sku=160538</t>
  </si>
  <si>
    <t>3046004700</t>
  </si>
  <si>
    <t>Насадка для химчистки Ø 40</t>
  </si>
  <si>
    <t>https://him-auto.ru/pylesosy-pylevodososy-i-zapasnye-chasti/nasadka-dlya-himchistki-ø-40/</t>
  </si>
  <si>
    <t>MPVR86380</t>
  </si>
  <si>
    <t>Насадка для чистки ковровых покрытий с форсункой 02706</t>
  </si>
  <si>
    <t>https://him-auto.ru/pylesosy-pylevodososy-i-zapasnye-chasti/nasadka-dlya-chistki-kovrovyh-pokrytij-s-forsunkoj-02706/</t>
  </si>
  <si>
    <t>3206017600</t>
  </si>
  <si>
    <t>Насадка для щетки и резиновых стяжек Ø 35</t>
  </si>
  <si>
    <t>https://him-auto.ru/pylesosy-pylevodososy-i-zapasnye-chasti/nasadka-dlya-shchetki-i-rezinovyh-styazhek-ø-35/</t>
  </si>
  <si>
    <t>SPPV28244</t>
  </si>
  <si>
    <t>Насадка ковер-пол (D36) 00632</t>
  </si>
  <si>
    <t>https://him-auto.ru/pylesosy-pylevodososy-i-zapasnye-chasti/nasadka-kover-pol-d36-00632/</t>
  </si>
  <si>
    <t>00023 IMPU (6189R)</t>
  </si>
  <si>
    <t>Насадка коннектор - угловая с курком для химии</t>
  </si>
  <si>
    <t>https://him-auto.ru/pylesosy-pylevodososy-i-zapasnye-chasti/nasadka-konnektor-uglovaya-s-kurkom-dlya-himii/</t>
  </si>
  <si>
    <t>43046 MPVR (6180R)</t>
  </si>
  <si>
    <t>Насадка коннектор угловая с курком для химии 200, 200 IDRO</t>
  </si>
  <si>
    <t>https://him-auto.ru/pylesosy-pylevodososy-i-zapasnye-chasti/nasadka-konnektor-uglovaya-s-kurkom-dlya-himii-200-200-idro/</t>
  </si>
  <si>
    <t>SPPV28243</t>
  </si>
  <si>
    <t>Насадка круглая (D36) 00004</t>
  </si>
  <si>
    <t>https://him-auto.ru/pylesosy-pylevodososy-i-zapasnye-chasti/nasadka-kruglaya-d36-00004/</t>
  </si>
  <si>
    <t>SPPV43052</t>
  </si>
  <si>
    <t>Насадка круглая (D38) 06295</t>
  </si>
  <si>
    <t>https://him-auto.ru/pylesosy-pylevodososy-i-zapasnye-chasti/nasadka-kruglaya-d38-06295/</t>
  </si>
  <si>
    <t>3046004300</t>
  </si>
  <si>
    <t>Насадка круглая с ворсом Ø 35</t>
  </si>
  <si>
    <t>https://him-auto.ru/pylesosy-pylevodososy-i-zapasnye-chasti/nasadka-kruglaya-s-vorsom-ø-35/</t>
  </si>
  <si>
    <t>3046004200</t>
  </si>
  <si>
    <t>Насадка круглая с ворсом Ø 40</t>
  </si>
  <si>
    <t>https://him-auto.ru/pylesosy-pylevodososy-i-zapasnye-chasti/nasadka-kruglaya-s-vorsom-ø-40/</t>
  </si>
  <si>
    <t>3046017700</t>
  </si>
  <si>
    <t>Насадка круглая с ворсом и с оцинкованным патрубком Ø 50</t>
  </si>
  <si>
    <t>https://him-auto.ru/pylesosy-pylevodososy-i-zapasnye-chasti/nasadka-kruglaya-s-vorsom-i-s-ocinkovannym-patrubkom-ø-50/</t>
  </si>
  <si>
    <t>BF737</t>
  </si>
  <si>
    <t>Насадка круглая с щетиной Д.40мм.</t>
  </si>
  <si>
    <t>https://him-auto.ru/pylesosy-pylevodososy-i-zapasnye-chasti/nasadka-kruglaya-s-shchetinoj-d40mm/</t>
  </si>
  <si>
    <t>3046004800</t>
  </si>
  <si>
    <t>Насадка круглая со стальным ворсом Ø 35</t>
  </si>
  <si>
    <t>https://him-auto.ru/pylesosy-pylevodososy-i-zapasnye-chasti/nasadka-kruglaya-so-stalnym-vorsom-ø-35/</t>
  </si>
  <si>
    <t>616</t>
  </si>
  <si>
    <t>Насадка малая (D36)</t>
  </si>
  <si>
    <t>https://him-auto.ru/pylesosy-pylevodososy-i-zapasnye-chasti/nasadka-malaya-d36/</t>
  </si>
  <si>
    <t>06276 MPVR S (00616 G52)</t>
  </si>
  <si>
    <t>Насадка мебельная для YVO, 36мм - диаметр</t>
  </si>
  <si>
    <t>https://him-auto.ru/pylesosy-pylevodososy-i-zapasnye-chasti/nasadka-mebelnaya-dlya-yvo-36mm-diametr/</t>
  </si>
  <si>
    <t>00141 MPVR (00616)</t>
  </si>
  <si>
    <t>Насадка мебельная, 36мм - диаметр</t>
  </si>
  <si>
    <t>https://him-auto.ru/pylesosy-pylevodososy-i-zapasnye-chasti/nasadka-mebelnaya-36mm-diametr/</t>
  </si>
  <si>
    <t>ACLA230/C</t>
  </si>
  <si>
    <t>Насадка моющая для пола</t>
  </si>
  <si>
    <t>https://him-auto.ru/pylesosy-pylevodososy-i-zapasnye-chasti/nasadka-moyushchaya-dlya-pola/</t>
  </si>
  <si>
    <t>SPPV00093</t>
  </si>
  <si>
    <t>Насадка овальная (D36), пластик</t>
  </si>
  <si>
    <t>https://him-auto.ru/pylesosy-pylevodososy-i-zapasnye-chasti/nasadka-ovalnaya-d36-plastik/</t>
  </si>
  <si>
    <t>01823 SPPV (06407/RIC)</t>
  </si>
  <si>
    <t>Насадка половая влажная уборка для химчистки, 38мм</t>
  </si>
  <si>
    <t>https://him-auto.ru/pylesosy-pylevodososy-i-zapasnye-chasti/nasadka-polovaya-vlazhnaya-uborka-dlya-himchistki-38mm/</t>
  </si>
  <si>
    <t>30060 MPVR (00651)</t>
  </si>
  <si>
    <t>Насадка ручная влажная уборка для химчистки (без курка и шланга для химии), 36мм</t>
  </si>
  <si>
    <t>https://him-auto.ru/pylesosy-pylevodososy-i-zapasnye-chasti/nasadka-ruchnaya-vlazhnaya-uborka-dlya-himchistki-bez-kurka-i-shlanga-dlya-himii-36mm/</t>
  </si>
  <si>
    <t>40311 SPPV (06174)</t>
  </si>
  <si>
    <t>Насадка ручная влажная уборка для химчистки (с шлангом для химии), 36мм</t>
  </si>
  <si>
    <t>https://him-auto.ru/pylesosy-pylevodososy-i-zapasnye-chasti/nasadka-ruchnaya-vlazhnaya-uborka-dlya-himchistki-s-shlangom-dlya-himii-36mm/</t>
  </si>
  <si>
    <t>28251 SPPV S (00752/OTT)</t>
  </si>
  <si>
    <t>Насадка ручная влажная уборка для химчистки в сборе, 36мм</t>
  </si>
  <si>
    <t>https://him-auto.ru/pylesosy-pylevodososy-i-zapasnye-chasti/nasadka-ruchnaya-vlazhnaya-uborka-dlya-himchistki-v-sbore-36mm/</t>
  </si>
  <si>
    <t>SPPV28245</t>
  </si>
  <si>
    <t>Насадка с изгибом для сбора влаги (D36) 02720</t>
  </si>
  <si>
    <t>https://him-auto.ru/pylesosy-pylevodososy-i-zapasnye-chasti/nasadka-s-izgibom-dlya-sbora-vlagi-d36-02720/</t>
  </si>
  <si>
    <t>SPPV43051</t>
  </si>
  <si>
    <t>Насадка с изгибом для сбора влаги L-400 мм. (D38) 06385</t>
  </si>
  <si>
    <t>https://him-auto.ru/pylesosy-pylevodososy-i-zapasnye-chasti/nasadka-s-izgibom-dlya-sbora-vlagi-l-400-mm-d38-06385/</t>
  </si>
  <si>
    <t>SPPV43050</t>
  </si>
  <si>
    <t>Насадка с изгибом для сбора пыли L-400 мм. (D38) 06384</t>
  </si>
  <si>
    <t>https://him-auto.ru/pylesosy-pylevodososy-i-zapasnye-chasti/nasadka-s-izgibom-dlya-sbora-pyli-l-400-mm-d38-06384/</t>
  </si>
  <si>
    <t>28247 SPPV S (0041R)</t>
  </si>
  <si>
    <t>Насадка сухая уборка (балка всасывающая), 38мм - диаметр</t>
  </si>
  <si>
    <t>https://him-auto.ru/pylesosy-pylevodososy-i-zapasnye-chasti/nasadka-suhaya-uborka-balka-vsasyvayushchaya-38mm-diametr/</t>
  </si>
  <si>
    <t>72080 SPPV S (02296)</t>
  </si>
  <si>
    <t>Насадка щелевая (металл), 38мм - диаметр</t>
  </si>
  <si>
    <t>https://him-auto.ru/pylesosy-pylevodososy-i-zapasnye-chasti/nasadka-shchelevaya-metall-38mm-diametr/</t>
  </si>
  <si>
    <t>26401911</t>
  </si>
  <si>
    <t>Насадка щелевая 40 мм x 420 мм с защитой, DN 38</t>
  </si>
  <si>
    <t>https://him-auto.ru/pylesosy-pylevodososy-i-zapasnye-chasti/nasadka-shchelevaya-40-mm-x-420-mm-s-zashchitoj-dn-38/</t>
  </si>
  <si>
    <t>2640191</t>
  </si>
  <si>
    <t>Насадка щелевая 40 мм x 420 мм, DN 38</t>
  </si>
  <si>
    <t>https://him-auto.ru/pylesosy-pylevodososy-i-zapasnye-chasti/nasadka-shchelevaya-40-mm-x-420-mm-dn-38/</t>
  </si>
  <si>
    <t>BF736</t>
  </si>
  <si>
    <t>Насадка щелевая Д.40мм.</t>
  </si>
  <si>
    <t>https://him-auto.ru/pylesosy-pylevodososy-i-zapasnye-chasti/nasadka-shchelevaya-d40mm/</t>
  </si>
  <si>
    <t>49600 SPPV (06866)</t>
  </si>
  <si>
    <t>Насадка щелевая для Planet 152, 50мм - диаметр</t>
  </si>
  <si>
    <t>https://him-auto.ru/pylesosy-pylevodososy-i-zapasnye-chasti/nasadka-shchelevaya-dlya-planet-152-50mm-diametr/</t>
  </si>
  <si>
    <t>06277 MPVR (00617 G52)</t>
  </si>
  <si>
    <t>Насадка щелевая для YVO, 36мм - диаметр</t>
  </si>
  <si>
    <t>https://him-auto.ru/pylesosy-pylevodososy-i-zapasnye-chasti/nasadka-shchelevaya-dlya-yvo-36mm-diametr/</t>
  </si>
  <si>
    <t>10345 MPVR</t>
  </si>
  <si>
    <t>Насадка щелевая с круглой щеткой для Fox</t>
  </si>
  <si>
    <t>https://him-auto.ru/pylesosy-pylevodososy-i-zapasnye-chasti/nasadka-shchelevaya-s-krugloj-shchetkoj-dlya-fox/</t>
  </si>
  <si>
    <t>2640193</t>
  </si>
  <si>
    <t>Насадка щелевая удлиненная L=350 D=45 мм (D40)</t>
  </si>
  <si>
    <t>https://him-auto.ru/pylesosy-pylevodososy-i-zapasnye-chasti/nasadka-shchelevaya-udlinennaya-l350-d45-mm-d40/</t>
  </si>
  <si>
    <t>SPPV28242</t>
  </si>
  <si>
    <t>Насадка щелевая узкая (D36) 00617</t>
  </si>
  <si>
    <t>https://him-auto.ru/pylesosy-pylevodososy-i-zapasnye-chasti/nasadka-shchelevaya-uzkaya-d36-00617/</t>
  </si>
  <si>
    <t>SPPV72080</t>
  </si>
  <si>
    <t>Насадка щелевая хромированная (D38) 02296</t>
  </si>
  <si>
    <t>https://him-auto.ru/pylesosy-pylevodososy-i-zapasnye-chasti/nasadka-shchelevaya-hromirovannaya-d38-02296/</t>
  </si>
  <si>
    <t>SPPV00156</t>
  </si>
  <si>
    <t>Насадка щелевая широкая (D38) 00003</t>
  </si>
  <si>
    <t>https://him-auto.ru/pylesosy-pylevodososy-i-zapasnye-chasti/nasadka-shchelevaya-shirokaya-d38-00003/</t>
  </si>
  <si>
    <t>28242 SPPV  (00617)</t>
  </si>
  <si>
    <t>Насадка щелевая, 36мм - диаметр</t>
  </si>
  <si>
    <t>https://him-auto.ru/pylesosy-pylevodososy-i-zapasnye-chasti/nasadka-shchelevaya-36mm-diametr/</t>
  </si>
  <si>
    <t>00156 SPPV (00003)</t>
  </si>
  <si>
    <t>Насадка щелевая, 38мм - диаметр</t>
  </si>
  <si>
    <t>https://him-auto.ru/pylesosy-pylevodososy-i-zapasnye-chasti/nasadka-shchelevaya-38mm-diametr/</t>
  </si>
  <si>
    <t>10598 SPPV</t>
  </si>
  <si>
    <t>Насадка щелевая, 58мм - диаметр</t>
  </si>
  <si>
    <t>https://him-auto.ru/pylesosy-pylevodososy-i-zapasnye-chasti/nasadka-shchelevaya-58mm-diametr/</t>
  </si>
  <si>
    <t>ACLP036</t>
  </si>
  <si>
    <t>Насадка щелевая, D 36мм</t>
  </si>
  <si>
    <t>https://him-auto.ru/pylesosy-pylevodososy-i-zapasnye-chasti/nasadka-shchelevaya-d-36mm/</t>
  </si>
  <si>
    <t>ACLP040R</t>
  </si>
  <si>
    <t>Насадка щелевая, D 40мм</t>
  </si>
  <si>
    <t>https://him-auto.ru/pylesosy-pylevodososy-i-zapasnye-chasti/nasadka-shchelevaya-d-40mm/</t>
  </si>
  <si>
    <t>ACLP050</t>
  </si>
  <si>
    <t>Насадка щелевая, D 50мм</t>
  </si>
  <si>
    <t>https://him-auto.ru/pylesosy-pylevodososy-i-zapasnye-chasti/nasadka-shchelevaya-d-50mm/</t>
  </si>
  <si>
    <t>72244 SPPV (06173)</t>
  </si>
  <si>
    <t>Насадкадля пола/химчистки (с шлангом для химии, стяжкой и щеткой на насадке), 36мм</t>
  </si>
  <si>
    <t>https://him-auto.ru/pylesosy-pylevodososy-i-zapasnye-chasti/nasadkadlya-polahimchistki-s-shlangom-dlya-himii-styazhkoj-i-shchetkoj-na-nasadke-36mm/</t>
  </si>
  <si>
    <t>CEPO048V/C</t>
  </si>
  <si>
    <t>Насос подачи химии с креплением</t>
  </si>
  <si>
    <t>https://him-auto.ru/pylesosy-pylevodososy-i-zapasnye-chasti/nasos-podachi-himii-s-krepleniem/</t>
  </si>
  <si>
    <t>2881</t>
  </si>
  <si>
    <t>НЕРА фильтр для пылесоса 215,503, justo</t>
  </si>
  <si>
    <t>https://him-auto.ru/pylesosy-pylevodososy-i-zapasnye-chasti/nera-filtr-dlya-pylesosa-215503-justo/</t>
  </si>
  <si>
    <t>00540 PMBA S (2636 R G6)</t>
  </si>
  <si>
    <t>Нижняя часть головы 200, 200 IDRO</t>
  </si>
  <si>
    <t>https://him-auto.ru/pylesosy-pylevodososy-i-zapasnye-chasti/nizhnyaya-chast-golovy-200-200-idro/</t>
  </si>
  <si>
    <t>00483 PMBA S (01189 GPG6)</t>
  </si>
  <si>
    <t>Нижняя часть головы 503</t>
  </si>
  <si>
    <t>https://him-auto.ru/pylesosy-pylevodososy-i-zapasnye-chasti/nizhnyaya-chast-golovy-503/</t>
  </si>
  <si>
    <t>02262 MPVR (R3108 PG6)</t>
  </si>
  <si>
    <t>Нижняя часть головы PANDA 429-440</t>
  </si>
  <si>
    <t>https://him-auto.ru/pylesosy-pylevodososy-i-zapasnye-chasti/nizhnyaya-chast-golovy-panda-429-440/</t>
  </si>
  <si>
    <t>00570 PMBA (02954G6)</t>
  </si>
  <si>
    <t>Нижняя часть головы пылесоса 433, 633</t>
  </si>
  <si>
    <t>https://him-auto.ru/pylesosy-pylevodososy-i-zapasnye-chasti/nizhnyaya-chast-golovy-pylesosa-433-633/</t>
  </si>
  <si>
    <t>Однофазные пылесосы RGS</t>
  </si>
  <si>
    <t>https://him-auto.ru/pylesosy-pylevodososy-i-zapasnye-chasti/odnofaznye-pylesosy-rgs/</t>
  </si>
  <si>
    <t>1112004700</t>
  </si>
  <si>
    <t>Окрашенный бак 100 л, укомплектованный колесами, ручкой и уровнем заполнения бака</t>
  </si>
  <si>
    <t>https://him-auto.ru/pylesosy-pylevodososy-i-zapasnye-chasti/okrashennyj-bak-100-l-ukomplektovannyj-kolesami-ruchkoj-i-urovnem-zapolneniya-baka/</t>
  </si>
  <si>
    <t>07925 MPVR S (01218 NE)</t>
  </si>
  <si>
    <t>Основание 215, 300, 503</t>
  </si>
  <si>
    <t>https://him-auto.ru/pylesosy-pylevodososy-i-zapasnye-chasti/osnovanie-215-300-503/</t>
  </si>
  <si>
    <t>10615 MPVR (00477 NE)</t>
  </si>
  <si>
    <t>Основание 423, 429, 433</t>
  </si>
  <si>
    <t>https://him-auto.ru/pylesosy-pylevodososy-i-zapasnye-chasti/osnovanie-423-429-433/</t>
  </si>
  <si>
    <t>28771 MPVR S (07713)</t>
  </si>
  <si>
    <t>Основание 623, 633</t>
  </si>
  <si>
    <t>https://him-auto.ru/pylesosy-pylevodososy-i-zapasnye-chasti/osnovanie-623-633/</t>
  </si>
  <si>
    <t>01578 CARR S (1219R NE)</t>
  </si>
  <si>
    <t>Основание в сборе с колесами 215, 300, 503</t>
  </si>
  <si>
    <t>https://him-auto.ru/pylesosy-pylevodososy-i-zapasnye-chasti/osnovanie-v-sbore-s-kolesami-215-300-503/</t>
  </si>
  <si>
    <t>28739 MPVR (00876 BASE)</t>
  </si>
  <si>
    <t>Основание в сборе с колесами 423, 429, 433</t>
  </si>
  <si>
    <t>https://him-auto.ru/pylesosy-pylevodososy-i-zapasnye-chasti/osnovanie-v-sbore-s-kolesami-423-429-433/</t>
  </si>
  <si>
    <t>01374 CARR S (02981)</t>
  </si>
  <si>
    <t>Основание в сборе с колесами 623, 633</t>
  </si>
  <si>
    <t>https://him-auto.ru/pylesosy-pylevodososy-i-zapasnye-chasti/osnovanie-v-sbore-s-kolesami-623-633/</t>
  </si>
  <si>
    <t>06773 MPVR S (06194)</t>
  </si>
  <si>
    <t>Основание дефлектора 200 IDRO</t>
  </si>
  <si>
    <t>https://him-auto.ru/pylesosy-pylevodososy-i-zapasnye-chasti/osnovanie-deflektora-200-idro/</t>
  </si>
  <si>
    <t>88838 MPVR S (06858)</t>
  </si>
  <si>
    <t>Основание корзина фильтра V 640 М</t>
  </si>
  <si>
    <t>https://him-auto.ru/pylesosy-pylevodososy-i-zapasnye-chasti/osnovanie-korzina-filtra-v-640-m/</t>
  </si>
  <si>
    <t>10414 MPVR S (02630 AR)</t>
  </si>
  <si>
    <t>Отбойник TORNADO 200, 200 IDRO</t>
  </si>
  <si>
    <t>https://him-auto.ru/pylesosy-pylevodososy-i-zapasnye-chasti/otbojnik-tornado-200-200-idro/</t>
  </si>
  <si>
    <t>28861 FTDP (02741)</t>
  </si>
  <si>
    <t>Пакет бумажный TORNADO, PANDA 215, 515</t>
  </si>
  <si>
    <t>https://him-auto.ru/pylesosy-pylevodososy-i-zapasnye-chasti/paket-bumazhnyj-tornado-panda-215-515/</t>
  </si>
  <si>
    <t>28862 FTDP S (02875)</t>
  </si>
  <si>
    <t>Пакет бумажный TORNADO, PANDA 423, 429, 433, 623, 629, 633, 640</t>
  </si>
  <si>
    <t>https://him-auto.ru/pylesosy-pylevodososy-i-zapasnye-chasti/paket-bumazhnyj-tornado-panda-423-429-433-623-629-633-640/</t>
  </si>
  <si>
    <t>00449 FTDP (5160670502)</t>
  </si>
  <si>
    <t>Пакет бумажный YP1400/20</t>
  </si>
  <si>
    <t>https://him-auto.ru/pylesosy-pylevodososy-i-zapasnye-chasti/paket-bumazhnyj-yp140020/</t>
  </si>
  <si>
    <t>00295 PVVR (5162180501)</t>
  </si>
  <si>
    <t>Пакет бумажный YP1400/6</t>
  </si>
  <si>
    <t>https://him-auto.ru/pylesosy-pylevodososy-i-zapasnye-chasti/paket-bumazhnyj-yp14006/</t>
  </si>
  <si>
    <t>00224 FTDP (07882)</t>
  </si>
  <si>
    <t>Пакет бумажный для YVO, LP 1/12 ECO</t>
  </si>
  <si>
    <t>https://him-auto.ru/pylesosy-pylevodososy-i-zapasnye-chasti/paket-bumazhnyj-dlya-yvo-lp-112-eco/</t>
  </si>
  <si>
    <t>28696 MPVR (02593)</t>
  </si>
  <si>
    <t>Патрубок коннектора 200-600 серий</t>
  </si>
  <si>
    <t>https://him-auto.ru/pylesosy-pylevodososy-i-zapasnye-chasti/patrubok-konnektora-200-600-serij/</t>
  </si>
  <si>
    <t>88489 MPVR S (06277 G5)</t>
  </si>
  <si>
    <t>Пеногаситель 200 IDRO</t>
  </si>
  <si>
    <t>https://him-auto.ru/pylesosy-pylevodososy-i-zapasnye-chasti/penogasitel-200-idro/</t>
  </si>
  <si>
    <t>СB60L Spare parts 30</t>
  </si>
  <si>
    <t>Переднее колесо для пылесоса 60-80л</t>
  </si>
  <si>
    <t>https://him-auto.ru/pylesosy-pylevodososy-i-zapasnye-chasti/perednee-koleso-dlya-pylesosa-60-80l/</t>
  </si>
  <si>
    <t>72251 RCVR S (00689)</t>
  </si>
  <si>
    <t>Переходник 1/4внут-1/8внут TORNADO 200</t>
  </si>
  <si>
    <t>https://him-auto.ru/pylesosy-pylevodososy-i-zapasnye-chasti/perehodnik-14vnut-18vnut-tornado-200/</t>
  </si>
  <si>
    <t>MPVR43049</t>
  </si>
  <si>
    <t>Переходник для насадок (D38) 06388</t>
  </si>
  <si>
    <t>https://him-auto.ru/pylesosy-pylevodososy-i-zapasnye-chasti/perehodnik-dlya-nasadok-d38-06388/</t>
  </si>
  <si>
    <t>43049 MPVR (06388)</t>
  </si>
  <si>
    <t>Переходник для насадок, 38мм - диаметр</t>
  </si>
  <si>
    <t>https://him-auto.ru/pylesosy-pylevodososy-i-zapasnye-chasti/perehodnik-dlya-nasadok-38mm-diametr/</t>
  </si>
  <si>
    <t>38910 RCIN S  (03689/OTT)</t>
  </si>
  <si>
    <t>Переходник под муфту TORNADO 200</t>
  </si>
  <si>
    <t>https://him-auto.ru/pylesosy-pylevodososy-i-zapasnye-chasti/perehodnik-pod-muftu-tornado-200/</t>
  </si>
  <si>
    <t>MPVR28241</t>
  </si>
  <si>
    <t>Переходник с D38-D36 00006</t>
  </si>
  <si>
    <t>https://him-auto.ru/pylesosy-pylevodososy-i-zapasnye-chasti/perehodnik-s-d38-d36-00006/</t>
  </si>
  <si>
    <t>01080 RCVR S (03096)</t>
  </si>
  <si>
    <t>Переходник угловой TORNADO 200</t>
  </si>
  <si>
    <t>https://him-auto.ru/pylesosy-pylevodososy-i-zapasnye-chasti/perehodnik-uglovoj-tornado-200/</t>
  </si>
  <si>
    <t>41998 RCVR S (03035)</t>
  </si>
  <si>
    <t>Переходник угловой TORNADO 200 IDRO</t>
  </si>
  <si>
    <t>https://him-auto.ru/pylesosy-pylevodososy-i-zapasnye-chasti/perehodnik-uglovoj-tornado-200-idro/</t>
  </si>
  <si>
    <t>28241 MPVR S (00006)</t>
  </si>
  <si>
    <t>Переходник, 38-36мм - диаметр</t>
  </si>
  <si>
    <t>https://him-auto.ru/pylesosy-pylevodososy-i-zapasnye-chasti/perehodnik-38-36mm-diametr/</t>
  </si>
  <si>
    <t>28762 CEVR S (02970)</t>
  </si>
  <si>
    <t>Петля крепления для TORNADO MARK 600</t>
  </si>
  <si>
    <t>https://him-auto.ru/pylesosy-pylevodososy-i-zapasnye-chasti/petlya-krepleniya-dlya-tornado-mark-600/</t>
  </si>
  <si>
    <t>BF570-22 (31000190038)</t>
  </si>
  <si>
    <t>Пластиковая основа 30 (15)</t>
  </si>
  <si>
    <t>https://him-auto.ru/pylesosy-pylevodososy-i-zapasnye-chasti/plastikovaya-osnova-30-15/</t>
  </si>
  <si>
    <t>BF580-30 (31000190118)</t>
  </si>
  <si>
    <t>Пластиковая основа с ручкой и колесами 70 л.</t>
  </si>
  <si>
    <t>https://him-auto.ru/pylesosy-pylevodososy-i-zapasnye-chasti/plastikovaya-osnova-s-ruchkoj-i-kolesami-70-l/</t>
  </si>
  <si>
    <t>36522 MPVR S (00507)</t>
  </si>
  <si>
    <t>Пластиковый держатель для синтепонового фильтра</t>
  </si>
  <si>
    <t>https://him-auto.ru/pylesosy-pylevodososy-i-zapasnye-chasti/plastikovyj-derzhatel-dlya-sinteponovogo-filtra/</t>
  </si>
  <si>
    <t>00676 MECE (030323)</t>
  </si>
  <si>
    <t>Плата</t>
  </si>
  <si>
    <t>https://him-auto.ru/pylesosy-pylevodososy-i-zapasnye-chasti/plata/</t>
  </si>
  <si>
    <t>40007 MECE S (07872)</t>
  </si>
  <si>
    <t>Плата для 504 Justo</t>
  </si>
  <si>
    <t>https://him-auto.ru/pylesosy-pylevodososy-i-zapasnye-chasti/plata-dlya-504-justo/</t>
  </si>
  <si>
    <t>00665 MECE (021649)</t>
  </si>
  <si>
    <t>Плата для MARK 600</t>
  </si>
  <si>
    <t>https://him-auto.ru/pylesosy-pylevodososy-i-zapasnye-chasti/plata-dlya-mark-600/</t>
  </si>
  <si>
    <t>40010 MECE S (020766)</t>
  </si>
  <si>
    <t>Плата для Shake, TORNADO 503 2ST</t>
  </si>
  <si>
    <t>https://him-auto.ru/pylesosy-pylevodososy-i-zapasnye-chasti/plata-dlya-shake-tornado-503-2st/</t>
  </si>
  <si>
    <t>CPCA545/GS</t>
  </si>
  <si>
    <t>Платформа для пылесоса серии EXEL</t>
  </si>
  <si>
    <t>https://him-auto.ru/pylesosy-pylevodososy-i-zapasnye-chasti/platforma-dlya-pylesosa-serii-exel/</t>
  </si>
  <si>
    <t>00004 MEPD (00758)</t>
  </si>
  <si>
    <t>Помпа для химчистки 200, 200 IDRO, 300</t>
  </si>
  <si>
    <t>https://him-auto.ru/pylesosy-pylevodososy-i-zapasnye-chasti/pompa-dlya-himchistki-200-200-idro-300/</t>
  </si>
  <si>
    <t>00007 PPEL (01245 SG)</t>
  </si>
  <si>
    <t>Помпа для химчистки TORNADO 700</t>
  </si>
  <si>
    <t>https://him-auto.ru/pylesosy-pylevodososy-i-zapasnye-chasti/pompa-dlya-himchistki-tornado-700/</t>
  </si>
  <si>
    <t>00097 PPEL (R6911)</t>
  </si>
  <si>
    <t>Помпа для химчистки в сборе 200 IDRO</t>
  </si>
  <si>
    <t>https://him-auto.ru/pylesosy-pylevodososy-i-zapasnye-chasti/pompa-dlya-himchistki-v-sbore-200-idro/</t>
  </si>
  <si>
    <t>00107 PPEL (R6926/OTT)</t>
  </si>
  <si>
    <t>Помпа для химчистки в сборе 200, 300</t>
  </si>
  <si>
    <t>https://him-auto.ru/pylesosy-pylevodososy-i-zapasnye-chasti/pompa-dlya-himchistki-v-sbore-200-300/</t>
  </si>
  <si>
    <t>72220 MEPF S (03919)</t>
  </si>
  <si>
    <t>Прессостат TORNADO 700</t>
  </si>
  <si>
    <t>https://him-auto.ru/pylesosy-pylevodososy-i-zapasnye-chasti/pressostat-tornado-700/</t>
  </si>
  <si>
    <t>1002026800</t>
  </si>
  <si>
    <t>Префильтр нейлоновый "CVP CVC"</t>
  </si>
  <si>
    <t>https://him-auto.ru/pylesosy-pylevodososy-i-zapasnye-chasti/prefiltr-nejlonovyj-cvp-cvc/</t>
  </si>
  <si>
    <t>1801004800</t>
  </si>
  <si>
    <t>Проводящие патрубки для шланга ПВХ Ø 50</t>
  </si>
  <si>
    <t>https://him-auto.ru/pylesosy-pylevodososy-i-zapasnye-chasti/provodyashchie-patrubki-dlya-shlanga-pvh-ø-50/</t>
  </si>
  <si>
    <t>37740 GUVR</t>
  </si>
  <si>
    <t>Прокладка головной части пылесоса (Замена для 03180)</t>
  </si>
  <si>
    <t>https://him-auto.ru/pylesosy-pylevodososy-i-zapasnye-chasti/prokladka-golovnoj-chasti-pylesosa-zamena-dlya-03180/</t>
  </si>
  <si>
    <t>03379 KTRI S/28748 MPVR S/28745 FTDP S (03456)</t>
  </si>
  <si>
    <t>Прокладка для турбин TORNADO</t>
  </si>
  <si>
    <t>https://him-auto.ru/pylesosy-pylevodososy-i-zapasnye-chasti/prokladka-dlya-turbin-tornado/</t>
  </si>
  <si>
    <t>38057 FTDP04140 KTRI (03454)</t>
  </si>
  <si>
    <t>https://him-auto.ru/pylesosy-pylevodososy-i-zapasnye-chasti/prokladka-dlya-turbin-tornado/?sku=154967</t>
  </si>
  <si>
    <t>28701 GUGO (02846)</t>
  </si>
  <si>
    <t>Прокладка коннектора пылесоса</t>
  </si>
  <si>
    <t>https://him-auto.ru/pylesosy-pylevodososy-i-zapasnye-chasti/prokladka-konnektora-pylesosa/</t>
  </si>
  <si>
    <t>ASDO03646/CLEAN G6AZ</t>
  </si>
  <si>
    <t>Промышленный ковровый экстрактор MEC CLEAN 1 турб, 27 л, бак для химии 6,2 л.</t>
  </si>
  <si>
    <t>https://him-auto.ru/pylesosy-pylevodososy-i-zapasnye-chasti/promyshlennyj-kovrovyj-ehkstraktor-mec-clean-1-turb-27-l-bak-dlya-himii-62-l/</t>
  </si>
  <si>
    <t>ASDO07981/MEC 215 Small</t>
  </si>
  <si>
    <t>Промышленный пылесос MEC WD 18/1 S мет. бак, 1 турб, 1500 Вт, 18 л. полн. компл.</t>
  </si>
  <si>
    <t>https://him-auto.ru/pylesosy-pylevodososy-i-zapasnye-chasti/promyshlennyj-pylesos-mec-wd-181-s-met-bak-1-turb-1500-vt-18-l-poln-kompl/</t>
  </si>
  <si>
    <t>09336 MPVR S (02937G6)</t>
  </si>
  <si>
    <t>Проставка для 433, 633</t>
  </si>
  <si>
    <t>https://him-auto.ru/pylesosy-pylevodososy-i-zapasnye-chasti/prostavka-dlya-433-633/</t>
  </si>
  <si>
    <t>04206 KTRI S (03866)</t>
  </si>
  <si>
    <t>Проставка для TORNADO 200 IDRO</t>
  </si>
  <si>
    <t>https://him-auto.ru/pylesosy-pylevodososy-i-zapasnye-chasti/prostavka-dlya-tornado-200-idro/</t>
  </si>
  <si>
    <t>28736 GUGO/03744 KTRI S (02586 NE)</t>
  </si>
  <si>
    <t>Проставка задняя коннектора пылесоса</t>
  </si>
  <si>
    <t>https://him-auto.ru/pylesosy-pylevodososy-i-zapasnye-chasti/prostavka-zadnyaya-konnektora-pylesosa/</t>
  </si>
  <si>
    <t>76600 TBFX S (02586)</t>
  </si>
  <si>
    <t>Проставка коннектора пылесоса</t>
  </si>
  <si>
    <t>https://him-auto.ru/pylesosy-pylevodososy-i-zapasnye-chasti/prostavka-konnektora-pylesosa/</t>
  </si>
  <si>
    <t>40008 RCGR (02676-1G)</t>
  </si>
  <si>
    <t>Проставка турбины</t>
  </si>
  <si>
    <t>https://him-auto.ru/pylesosy-pylevodososy-i-zapasnye-chasti/prostavka-turbiny/</t>
  </si>
  <si>
    <t>40021-00001 (9351001800)</t>
  </si>
  <si>
    <t>Пылеводосос Comet Windy 378 IR, 3- турбины; бак 78л (нерж); 220В; 3600 Вт</t>
  </si>
  <si>
    <t>https://him-auto.ru/pylesosy-pylevodososy-i-zapasnye-chasti/pylevodosos-comet-windy-378-ir-3-turbiny-bak-78l-nerzh-220v-3600-vt/</t>
  </si>
  <si>
    <t>CH-703</t>
  </si>
  <si>
    <t>Пылеводосос ESSE 703</t>
  </si>
  <si>
    <t>https://him-auto.ru/pylesosy-pylevodososy-i-zapasnye-chasti/pylevodosos-esse-703/</t>
  </si>
  <si>
    <t>40021-00015 (9356004200)</t>
  </si>
  <si>
    <t>Пылеводосос NEW Comet CVP 378 P BASIC 220В; 3600 Вт 3- турбины; бак 78л пластик шланг+щелевая</t>
  </si>
  <si>
    <t>https://him-auto.ru/pylesosy-pylevodososy-i-zapasnye-chasti/pylevodosos-new-comet-cvp-378-p-basic-220v-3600-vt-3-turbiny-bak-78l-plastik-shlangshchelevaya/</t>
  </si>
  <si>
    <t>1540C</t>
  </si>
  <si>
    <t>Пылеводосос для сухой и влажной уборки 3 турбины, бак 60 л, 220 В, 3000 Вт</t>
  </si>
  <si>
    <t>https://him-auto.ru/pylesosy-pylevodososy-i-zapasnye-chasti/pylevodosos-dlya-suhoj-i-vlazhnoj-uborki-3-turbiny-bak-60-l-220-v-3000-vt/</t>
  </si>
  <si>
    <t>BF575 (12125750019)</t>
  </si>
  <si>
    <t>Пылеводосос для сухой и влажной уборки Комета 1 турб., бак 30л,нерж,1200Вт, полная комплектация</t>
  </si>
  <si>
    <t>https://him-auto.ru/pylesosy-pylevodososy-i-zapasnye-chasti/pylevodosos-dlya-suhoj-i-vlazhnoj-uborki-kometa-1-turb-bak-30lnerzh1200vt-polnaya-komplektaciya/</t>
  </si>
  <si>
    <t>9357000800</t>
  </si>
  <si>
    <t>Пылеводосос индустриальный Comet CVI-A 1100 ST plus; 1- турбина; бак 100л (нерж); 380В; 5500 Вт</t>
  </si>
  <si>
    <t>https://him-auto.ru/pylesosy-pylevodososy-i-zapasnye-chasti/pylevodosos-industrialnyj-comet-cvi-a-1100-st-plus-1-turbina-bak-100l-nerzh-380v-5500-vt/</t>
  </si>
  <si>
    <t>9357000500</t>
  </si>
  <si>
    <t>Пылеводосос индустриальный Comet CVI-A 1100 ST, класс L 1- турбина; бак 80л (сталь); 380В; 3000 Вт</t>
  </si>
  <si>
    <t>https://him-auto.ru/pylesosy-pylevodososy-i-zapasnye-chasti/pylevodosos-industrialnyj-comet-cvi-a-1100-st-klass-l-1-turbina-bak-80l-stal-380v-3000-vt/</t>
  </si>
  <si>
    <t>9357000600</t>
  </si>
  <si>
    <t>Пылеводосос индустриальный Comet CVI-A 1100 ST-OIL; 1- турбина; бак 100л (сталь); 380В; 3000 Вт</t>
  </si>
  <si>
    <t>https://him-auto.ru/pylesosy-pylevodososy-i-zapasnye-chasti/pylevodosos-industrialnyj-comet-cvi-a-1100-st-oil-1-turbina-bak-100l-stal-380v-3000-vt/</t>
  </si>
  <si>
    <t>9357000700</t>
  </si>
  <si>
    <t>Пылеводосос индустриальный Comet CVI-A 1100 XT-EX; ATEX 1- турбина; бак 100л (нерж); 380В; 2600 Вт</t>
  </si>
  <si>
    <t>https://him-auto.ru/pylesosy-pylevodososy-i-zapasnye-chasti/pylevodosos-industrialnyj-comet-cvi-a-1100-xt-ex-atex-1-turbina-bak-100l-nerzh-380v-2600-vt/</t>
  </si>
  <si>
    <t>9357000200</t>
  </si>
  <si>
    <t>Пылеводосос индустриальный Comet CVI-A 180 X, 1- турбина; бак 80л (нерж); 220В; 2200 Вт</t>
  </si>
  <si>
    <t>https://him-auto.ru/pylesosy-pylevodososy-i-zapasnye-chasti/pylevodosos-industrialnyj-comet-cvi-a-180-x-1-turbina-bak-80l-nerzh-220v-2200-vt/</t>
  </si>
  <si>
    <t>40034-00004 (9357000300)</t>
  </si>
  <si>
    <t>Пылеводосос индустриальный Comet CVI-A 180 XT; 1- турбина; бак 80л (нерж); 380В; 3000 Вт</t>
  </si>
  <si>
    <t>https://him-auto.ru/pylesosy-pylevodososy-i-zapasnye-chasti/pylevodosos-industrialnyj-comet-cvi-a-180-xt-1-turbina-bak-80l-nerzh-380v-3000-vt/</t>
  </si>
  <si>
    <t>9357000400</t>
  </si>
  <si>
    <t>Пылеводосос индустриальный Comet CVI-U 3100 S 3- турбины; бак 100л (сталь); 220В; 3600 Вт</t>
  </si>
  <si>
    <t>https://him-auto.ru/pylesosy-pylevodososy-i-zapasnye-chasti/pylevodosos-industrialnyj-comet-cvi-u-3100-s-3-turbiny-bak-100l-stal-220v-3600-vt/</t>
  </si>
  <si>
    <t>9357000900</t>
  </si>
  <si>
    <t>Пылеводосос индустриальный Comet CVI-U 380 X DS 3- турбины; бак 80л (нерж); 220В; 3000 Вт</t>
  </si>
  <si>
    <t>https://him-auto.ru/pylesosy-pylevodososy-i-zapasnye-chasti/pylevodosos-industrialnyj-comet-cvi-u-380-x-ds-3-turbiny-bak-80l-nerzh-220v-3000-vt/</t>
  </si>
  <si>
    <t>A-024-3</t>
  </si>
  <si>
    <t>Пылеводосос Комета 3 турб. бак 60л нерж. сталь; 220В; 3000Вт.</t>
  </si>
  <si>
    <t>https://him-auto.ru/pylesosy-pylevodososy-i-zapasnye-chasti/pylevodosos-kometa-3-turb-bak-60l-nerzh-stal-220v-3000vt/</t>
  </si>
  <si>
    <t>ZN-01100</t>
  </si>
  <si>
    <t>Пылеводосос с возможностью выдува воздуха СЕРИИ ZN2003-2-60L</t>
  </si>
  <si>
    <t>https://him-auto.ru/pylesosy-pylevodososy-i-zapasnye-chasti/pylevodosos-s-vozmozhnostyu-vyduva-vozduha-serii-zn2003-2-60l/</t>
  </si>
  <si>
    <t>ZN-01200</t>
  </si>
  <si>
    <t>Пылеводосос с возможностью выдува воздуха СЕРИИ ZN2003-3-60L</t>
  </si>
  <si>
    <t>https://him-auto.ru/pylesosy-pylevodososy-i-zapasnye-chasti/pylevodosos-s-vozmozhnostyu-vyduva-vozduha-serii-zn2003-3-60l/</t>
  </si>
  <si>
    <t>9355000400</t>
  </si>
  <si>
    <t>Пылеводосос Соmet CV 20 S; 1- турбина; бак 20л (сталь); 220В; 1200Вт</t>
  </si>
  <si>
    <t>https://him-auto.ru/pylesosy-pylevodososy-i-zapasnye-chasti/pylevodosos-somet-cv-20-s-1-turbina-bak-20l-stal-220v-1200vt/</t>
  </si>
  <si>
    <t>9355001500</t>
  </si>
  <si>
    <t>Пылеводосос Соmet CV 30 X; 1- турбина; бак 30л (нерж); 220В; 1600Вт</t>
  </si>
  <si>
    <t>https://him-auto.ru/pylesosy-pylevodososy-i-zapasnye-chasti/pylevodosos-somet-cv-30-x-1-turbina-bak-30l-nerzh-220v-1600vt/</t>
  </si>
  <si>
    <t>9356003900</t>
  </si>
  <si>
    <t>Пылеводосос Соmet CVP 120 P ; 1- турбина; бак 20л (пласт); 220В; 1200Вт</t>
  </si>
  <si>
    <t>https://him-auto.ru/pylesosy-pylevodososy-i-zapasnye-chasti/pylevodosos-somet-cvp-120-p-1-turbina-bak-20l-plast-220v-1200vt/</t>
  </si>
  <si>
    <t>40041-00008 (9356000100)</t>
  </si>
  <si>
    <t>Пылеводосос Соmet CVP 130 PEM; КлассМ бак 30л (пласт); 220В; 1400Вт с розеткой для инстр.</t>
  </si>
  <si>
    <t>https://him-auto.ru/pylesosy-pylevodososy-i-zapasnye-chasti/pylevodosos-somet-cvp-130-pem-klassm-bak-30l-plast-220v-1400vt-s-rozetkoj-dlya-instr/</t>
  </si>
  <si>
    <t>40018-00015 (9356000500)</t>
  </si>
  <si>
    <t>Пылеводосос Соmet CVP 265 X; 2- турбины; бак 65л (нерж); 220В; 2000Вт</t>
  </si>
  <si>
    <t>https://him-auto.ru/pylesosy-pylevodososy-i-zapasnye-chasti/pylevodosos-somet-cvp-265-x-2-turbiny-bak-65l-nerzh-220v-2000vt/</t>
  </si>
  <si>
    <t>9356000800*</t>
  </si>
  <si>
    <t>Пылеводосос Соmet CVP 278 XBH; 2- турбины; бак 78л (нерж); 220В; 2400Вт</t>
  </si>
  <si>
    <t>https://him-auto.ru/pylesosy-pylevodososy-i-zapasnye-chasti/pylevodosos-somet-cvp-278-xbh-2-turbiny-bak-78l-nerzh-220v-2400vt/</t>
  </si>
  <si>
    <t>9356000700</t>
  </si>
  <si>
    <t>Пылеводосос Соmet CVP 378 P ; 3- турбины; бак 78л (пласт); 220В; 3600Вт</t>
  </si>
  <si>
    <t>https://him-auto.ru/pylesosy-pylevodososy-i-zapasnye-chasti/pylevodosos-somet-cvp-378-p-3-turbiny-bak-78l-plast-220v-3600vt/</t>
  </si>
  <si>
    <t>9351000900</t>
  </si>
  <si>
    <t>Пылеводосос Сомет CF 30 EM; 1 турбина; бак 30 л (сталь); 220В; 1400Вт с розеткой для инструмента</t>
  </si>
  <si>
    <t>https://him-auto.ru/pylesosy-pylevodososy-i-zapasnye-chasti/pylevodosos-somet-cf-30-em-1-turbina-bak-30-l-stal-220v-1400vt-s-rozetkoj-dlya-instrumenta/</t>
  </si>
  <si>
    <t>9355001400*</t>
  </si>
  <si>
    <t>Пылеводосос Сомет CV 20 X; 1- турбина; бак 20л (нерж); 220В; 1600Вт</t>
  </si>
  <si>
    <t>https://him-auto.ru/pylesosy-pylevodososy-i-zapasnye-chasti/pylevodosos-somet-cv-20-x-1-turbina-bak-20l-nerzh-220v-1600vt/</t>
  </si>
  <si>
    <t>9355000600</t>
  </si>
  <si>
    <t>Пылеводосос Сомет CV 30 X; 1- турбина; бак 30л (нерж); 220В; 1600Вт снят с производства</t>
  </si>
  <si>
    <t>https://him-auto.ru/pylesosy-pylevodososy-i-zapasnye-chasti/pylevodosos-somet-cv-30-x-1-turbina-bak-30l-nerzh-220v-1600vt-snyat-s-proizvodstva/</t>
  </si>
  <si>
    <t>9355000700</t>
  </si>
  <si>
    <t>Пылеводосос Сомет CV 30 XE; 1- турбина; бак 30л (нерж.); + розетка для инстр. 220В; 1600Вт</t>
  </si>
  <si>
    <t>https://him-auto.ru/pylesosy-pylevodososy-i-zapasnye-chasti/pylevodosos-somet-cv-30-xe-1-turbina-bak-30l-nerzh-rozetka-dlya-instr-220v-1600vt/</t>
  </si>
  <si>
    <t>9355001700*</t>
  </si>
  <si>
    <t>Пылеводосос Сомет CV 50 XE; 1- турбина; бак 50л (нерж); + розетка для инстр. 220В; 1600Вт</t>
  </si>
  <si>
    <t>https://him-auto.ru/pylesosy-pylevodososy-i-zapasnye-chasti/pylevodosos-somet-cv-50-xe-1-turbina-bak-50l-nerzh-rozetka-dlya-instr-220v-1600vt/</t>
  </si>
  <si>
    <t>40038-00001 (9351000500)</t>
  </si>
  <si>
    <t>Пылеводосос экстрактор Comet Jupiter; бак 5 л; 220В; 1200 Вт</t>
  </si>
  <si>
    <t>https://him-auto.ru/pylesosy-pylevodososy-i-zapasnye-chasti/pylevodosos-ehkstraktor-comet-jupiter-bak-5-l-220v-1200-vt/</t>
  </si>
  <si>
    <t>9351003000</t>
  </si>
  <si>
    <t>Пылеводосос экстрактор Сомет COSTELLATION IR; 2- турбины; бак 78л (нерж); 220В; 2200Вт</t>
  </si>
  <si>
    <t>https://him-auto.ru/pylesosy-pylevodososy-i-zapasnye-chasti/pylevodosos-ehkstraktor-somet-costellation-ir-2-turbiny-bak-78l-nerzh-220v-2200vt/</t>
  </si>
  <si>
    <t>40003-00031</t>
  </si>
  <si>
    <t>Пылеводосос экстрактор Сомет CVC 120 с моющимся фильтром</t>
  </si>
  <si>
    <t>https://him-auto.ru/pylesosy-pylevodososy-i-zapasnye-chasti/pylevodosos-ehkstraktor-somet-cvc-120-s-moyushchimsya-filtrom/</t>
  </si>
  <si>
    <t>40010-00005 (9356001200)</t>
  </si>
  <si>
    <t>Пылеводосос экстрактор Сомет CVC 150 XH; 1- турбина; бак 50л нерж; 220В; 1400Вт</t>
  </si>
  <si>
    <t>https://him-auto.ru/pylesosy-pylevodososy-i-zapasnye-chasti/pylevodosos-ehkstraktor-somet-cvc-150-xh-1-turbina-bak-50l-nerzh-220v-1400vt/</t>
  </si>
  <si>
    <t>40011-00009 (9356001300)</t>
  </si>
  <si>
    <t>Пылеводосос экстрактор Сомет CVC 278 XH; 2- турбины; бак 78л (нерж); 220В; 2200Вт</t>
  </si>
  <si>
    <t>https://him-auto.ru/pylesosy-pylevodososy-i-zapasnye-chasti/pylevodosos-ehkstraktor-somet-cvc-278-xh-2-turbiny-bak-78l-nerzh-220v-2200vt/</t>
  </si>
  <si>
    <t>40003-00031 (9351000200)</t>
  </si>
  <si>
    <t>Пылеводосос экстрактор Сомет GBP 20 Pro (с патронным фильтром); бак 20 л; 220В; 1400 Вт</t>
  </si>
  <si>
    <t>https://him-auto.ru/pylesosy-pylevodososy-i-zapasnye-chasti/pylevodosos-ehkstraktor-somet-gbp-20-pro-s-patronnym-filtrom-bak-20-l-220v-1400-vt/</t>
  </si>
  <si>
    <t>9351000800</t>
  </si>
  <si>
    <t>Пылеводосос экстрактор Сомет GBP 20; 1- турбина; бак 20л 220В; 1200Вт</t>
  </si>
  <si>
    <t>https://him-auto.ru/pylesosy-pylevodososy-i-zapasnye-chasti/pylevodosos-ehkstraktor-somet-gbp-20-1-turbina-bak-20l-220v-1200vt/</t>
  </si>
  <si>
    <t>Au-016033</t>
  </si>
  <si>
    <t>Пылесос Autech для уборки помещений и автотранспорта 3000 Вт</t>
  </si>
  <si>
    <t>https://him-auto.ru/pylesosy-pylevodososy-i-zapasnye-chasti/pylesos-autech-dlya-uborki-pomeshchenij-i-avtotransporta-3000-vt/</t>
  </si>
  <si>
    <t>9355000100</t>
  </si>
  <si>
    <t>Пылесос Comet CA 18 S; 1- турбина; бак 18л (сталь); 220В; 1000Вт</t>
  </si>
  <si>
    <t>https://him-auto.ru/pylesosy-pylevodososy-i-zapasnye-chasti/pylesos-comet-ca-18-s-1-turbina-bak-18l-stal-220v-1000vt/</t>
  </si>
  <si>
    <t>09616 ASDO</t>
  </si>
  <si>
    <t>Пылесос PANDA 215 XP PLAST</t>
  </si>
  <si>
    <t>https://him-auto.ru/pylesosy-pylevodososy-i-zapasnye-chasti/pylesos-panda-215-xp-plast/</t>
  </si>
  <si>
    <t>09832 ASDO</t>
  </si>
  <si>
    <t>Пылесос PANDA 429 GA XP INOX</t>
  </si>
  <si>
    <t>https://him-auto.ru/pylesosy-pylevodososy-i-zapasnye-chasti/pylesos-panda-429-ga-xp-inox/</t>
  </si>
  <si>
    <t>09639 ASDO</t>
  </si>
  <si>
    <t>Пылесос PANDA 429 GA XP PLAST</t>
  </si>
  <si>
    <t>https://him-auto.ru/pylesosy-pylevodososy-i-zapasnye-chasti/pylesos-panda-429-ga-xp-plast/</t>
  </si>
  <si>
    <t>09646 ASDO</t>
  </si>
  <si>
    <t>Пылесос PANDA 429M GA XP PLAST</t>
  </si>
  <si>
    <t>https://him-auto.ru/pylesosy-pylevodososy-i-zapasnye-chasti/pylesos-panda-429m-ga-xp-plast/</t>
  </si>
  <si>
    <t>09851 ASDO</t>
  </si>
  <si>
    <t>Пылесос PANDA 440 GA XP INOX</t>
  </si>
  <si>
    <t>https://him-auto.ru/pylesosy-pylevodososy-i-zapasnye-chasti/pylesos-panda-440-ga-xp-inox/</t>
  </si>
  <si>
    <t>09667 ASDO</t>
  </si>
  <si>
    <t>Пылесос PANDA 440 GA XP PLAST</t>
  </si>
  <si>
    <t>https://him-auto.ru/pylesosy-pylevodososy-i-zapasnye-chasti/pylesos-panda-440-ga-xp-plast/</t>
  </si>
  <si>
    <t>09672 ASDO</t>
  </si>
  <si>
    <t>Пылесос PANDA 440M GA XP INOX</t>
  </si>
  <si>
    <t>https://him-auto.ru/pylesosy-pylevodososy-i-zapasnye-chasti/pylesos-panda-440m-ga-xp-inox/</t>
  </si>
  <si>
    <t>09674 ASDO</t>
  </si>
  <si>
    <t>Пылесос PANDA 440M GA XP PLAST</t>
  </si>
  <si>
    <t>https://him-auto.ru/pylesosy-pylevodososy-i-zapasnye-chasti/pylesos-panda-440m-ga-xp-plast/</t>
  </si>
  <si>
    <t>09724 ASDO</t>
  </si>
  <si>
    <t>Пылесос PANDA 515 XP PLAST</t>
  </si>
  <si>
    <t>https://him-auto.ru/pylesosy-pylevodososy-i-zapasnye-chasti/pylesos-panda-515-xp-plast/</t>
  </si>
  <si>
    <t>09706 ASDO</t>
  </si>
  <si>
    <t>Пылесос PANDA 515/26 XP INOX</t>
  </si>
  <si>
    <t>https://him-auto.ru/pylesosy-pylevodososy-i-zapasnye-chasti/pylesos-panda-51526-xp-inox/</t>
  </si>
  <si>
    <t>09711 ASDO</t>
  </si>
  <si>
    <t>Пылесос PANDA 515/33 XP INOX</t>
  </si>
  <si>
    <t>https://him-auto.ru/pylesosy-pylevodososy-i-zapasnye-chasti/pylesos-panda-51533-xp-inox/</t>
  </si>
  <si>
    <t>13949 ASDO</t>
  </si>
  <si>
    <t>Пылесос Panda AS 1/23 W&amp;D</t>
  </si>
  <si>
    <t>https://him-auto.ru/pylesosy-pylevodososy-i-zapasnye-chasti/pylesos-panda-as-123-wd/</t>
  </si>
  <si>
    <t>09645 ASDO</t>
  </si>
  <si>
    <t>Пылесос Soteco Panda 429M GA XP Inox</t>
  </si>
  <si>
    <t>https://him-auto.ru/pylesosy-pylevodososy-i-zapasnye-chasti/pylesos-soteco-panda-429m-ga-xp-inox/</t>
  </si>
  <si>
    <t>09975 ASDO</t>
  </si>
  <si>
    <t>Пылесос Soteco Panda V 633 M</t>
  </si>
  <si>
    <t>https://him-auto.ru/pylesosy-pylevodososy-i-zapasnye-chasti/pylesos-soteco-panda-v-633-m/</t>
  </si>
  <si>
    <t>11236 ASDO</t>
  </si>
  <si>
    <t>Пылесос Soteco Tornado 429 Flowmix Inox</t>
  </si>
  <si>
    <t>https://him-auto.ru/pylesosy-pylevodososy-i-zapasnye-chasti/pylesos-soteco-tornado-429-flowmix-inox/</t>
  </si>
  <si>
    <t>12758 ASDO</t>
  </si>
  <si>
    <t>Пылесос TORNADO YVO WET</t>
  </si>
  <si>
    <t>https://him-auto.ru/pylesosy-pylevodososy-i-zapasnye-chasti/pylesos-tornado-yvo-wet/</t>
  </si>
  <si>
    <t>WL092-15LPS PLAST</t>
  </si>
  <si>
    <t>Пылесос WL092-15LPS PLAST</t>
  </si>
  <si>
    <t>https://him-auto.ru/pylesosy-pylevodososy-i-zapasnye-chasti/pylesos-wl092-15lps-plast/</t>
  </si>
  <si>
    <t>WL092-20LPS PLAST</t>
  </si>
  <si>
    <t>Пылесос WL092-20LPS PLAST</t>
  </si>
  <si>
    <t>https://him-auto.ru/pylesosy-pylevodososy-i-zapasnye-chasti/pylesos-wl092-20lps-plast/</t>
  </si>
  <si>
    <t>WL092-30LPS PLAST</t>
  </si>
  <si>
    <t>Пылесос WL092-30LPS PLAST</t>
  </si>
  <si>
    <t>https://him-auto.ru/pylesosy-pylevodososy-i-zapasnye-chasti/pylesos-wl092-30lps-plast/</t>
  </si>
  <si>
    <t>WL70-70L2B INOX</t>
  </si>
  <si>
    <t>Пылесос WL70-70L2B INOX</t>
  </si>
  <si>
    <t>https://him-auto.ru/pylesosy-pylevodososy-i-zapasnye-chasti/pylesos-wl70-70l2b-inox/</t>
  </si>
  <si>
    <t>WL70-70L3B INOX</t>
  </si>
  <si>
    <t>Пылесос WL70-70L3B INOX</t>
  </si>
  <si>
    <t>https://him-auto.ru/pylesosy-pylevodososy-i-zapasnye-chasti/pylesos-wl70-70l3b-inox/</t>
  </si>
  <si>
    <t>12874 ASDO</t>
  </si>
  <si>
    <t>Пылесос YP1400/20</t>
  </si>
  <si>
    <t>https://him-auto.ru/pylesosy-pylevodososy-i-zapasnye-chasti/pylesos-yp140020/</t>
  </si>
  <si>
    <t>9355000200</t>
  </si>
  <si>
    <t>Пылесос для сухой и влажной убоки Соmet CM 20 S,1 турбина, бак 20л (сталь), 1200Вт</t>
  </si>
  <si>
    <t>https://him-auto.ru/pylesosy-pylevodososy-i-zapasnye-chasti/pylesos-dlya-suhoj-i-vlazhnoj-uboki-somet-cm-20-s1-turbina-bak-20l-stal-1200vt/</t>
  </si>
  <si>
    <t>9351000600</t>
  </si>
  <si>
    <t>Пылесос для сухой и влажной уборки Comet Windy 365 IR, 3 турбины, бак 65л (нерж), 3600 Вт</t>
  </si>
  <si>
    <t>https://him-auto.ru/pylesosy-pylevodososy-i-zapasnye-chasti/pylesos-dlya-suhoj-i-vlazhnoj-uborki-comet-windy-365-ir-3-turbiny-bak-65l-nerzh-3600-vt/</t>
  </si>
  <si>
    <t>GREEN 503</t>
  </si>
  <si>
    <t>Пылесос для сухой и влажной уборки GREEN 503 1 турбина бак 32 л 220В 1200 Вт</t>
  </si>
  <si>
    <t>https://him-auto.ru/pylesosy-pylevodososy-i-zapasnye-chasti/pylesos-dlya-suhoj-i-vlazhnoj-uborki-green-503-1-turbina-bak-32-l-220v-1200-vt/</t>
  </si>
  <si>
    <t>ASDO13065</t>
  </si>
  <si>
    <t>Пылесос для сухой и влажной уборки PLAY YES 429M, 2 турб, 2800 Вт, 62 л.,пласт. со сливным шлангом</t>
  </si>
  <si>
    <t>https://him-auto.ru/pylesosy-pylevodososy-i-zapasnye-chasti/pylesos-dlya-suhoj-i-vlazhnoj-uborki-play-yes-429m-2-turb-2800-vt-62-lplast-so-slivnym-shlangom/</t>
  </si>
  <si>
    <t>HL60-3B-B</t>
  </si>
  <si>
    <t>Пылесос для сухой и влажной уборки Super Clean 3 турб,бак60л пласт,3000Вт без колес,шланга,аксес.</t>
  </si>
  <si>
    <t>https://him-auto.ru/pylesosy-pylevodososy-i-zapasnye-chasti/pylesos-dlya-suhoj-i-vlazhnoj-uborki-super-clean-3-turbbak60l-plast3000vt-bez-kolesshlangaakses/</t>
  </si>
  <si>
    <t>BF570 (12125700009)</t>
  </si>
  <si>
    <t>Пылесос для сухой и влажной уборки Комета 1 турб., бак 15л,нерж сталь, 1000Вт, полная комплектация</t>
  </si>
  <si>
    <t>https://him-auto.ru/pylesosy-pylevodososy-i-zapasnye-chasti/pylesos-dlya-suhoj-i-vlazhnoj-uborki-kometa-1-turb-bak-15lnerzh-stal-1000vt-polnaya-komplektaciya/</t>
  </si>
  <si>
    <t>BF580-3  (14125850054)</t>
  </si>
  <si>
    <t>Пылесос для сухой и влажной уборки Комета 3 турб., бак 70л, 3000Вт, полная комплектация</t>
  </si>
  <si>
    <t>https://him-auto.ru/pylesosy-pylevodososy-i-zapasnye-chasti/pylesos-dlya-suhoj-i-vlazhnoj-uborki-kometa-3-turb-bak-70l-3000vt-polnaya-komplektaciya/</t>
  </si>
  <si>
    <t>BF580-3С</t>
  </si>
  <si>
    <t>Пылесос для сухой и влажной уборки Комета, 3 турб, бак 70л нерж, 3000Вт, насадка, шланг 2,5м</t>
  </si>
  <si>
    <t>https://him-auto.ru/pylesosy-pylevodososy-i-zapasnye-chasti/pylesos-dlya-suhoj-i-vlazhnoj-uborki-kometa-3-turb-bak-70l-nerzh-3000vt-nasadka-shlang-25m/</t>
  </si>
  <si>
    <t>9355000300</t>
  </si>
  <si>
    <t>Пылесос для сухой и влажной уборки Соmet CM 30 S; 4 в 1, 1 турбина, бак 14+14 л (сталь), 1200Вт</t>
  </si>
  <si>
    <t>https://him-auto.ru/pylesosy-pylevodososy-i-zapasnye-chasti/pylesos-dlya-suhoj-i-vlazhnoj-uborki-somet-cm-30-s-4-v-1-1-turbina-bak-1414-l-stal-1200vt/</t>
  </si>
  <si>
    <t>9355001600</t>
  </si>
  <si>
    <t>Пылесос для сухой и влажной уборки Соmet CV 30 XE, 1 турбина, бак 30л, розетка для инстр, 1600Вт</t>
  </si>
  <si>
    <t>https://him-auto.ru/pylesosy-pylevodososy-i-zapasnye-chasti/pylesos-dlya-suhoj-i-vlazhnoj-uborki-somet-cv-30-xe-1-turbina-bak-30l-rozetka-dlya-instr-1600vt/</t>
  </si>
  <si>
    <t>9356000200</t>
  </si>
  <si>
    <t>Пылесос для сухой и влажной уборки Соmet CVP 120 X, 1 турбина, бак 20л (нерж), 1400Вт</t>
  </si>
  <si>
    <t>https://him-auto.ru/pylesosy-pylevodososy-i-zapasnye-chasti/pylesos-dlya-suhoj-i-vlazhnoj-uborki-somet-cvp-120-x-1-turbina-bak-20l-nerzh-1400vt/</t>
  </si>
  <si>
    <t>9356000300</t>
  </si>
  <si>
    <t>Пылесос для сухой и влажной уборки Соmet CVP 130 X, 1 турбина, бак 30л (нерж), 1400Вт</t>
  </si>
  <si>
    <t>https://him-auto.ru/pylesosy-pylevodososy-i-zapasnye-chasti/pylesos-dlya-suhoj-i-vlazhnoj-uborki-somet-cvp-130-x-1-turbina-bak-30l-nerzh-1400vt/</t>
  </si>
  <si>
    <t>9356000600</t>
  </si>
  <si>
    <t>Пылесос для сухой и влажной уборки Соmet CVP 278 P, 2 турбины, бак 78л(пласт), 2000Вт</t>
  </si>
  <si>
    <t>https://him-auto.ru/pylesosy-pylevodososy-i-zapasnye-chasti/pylesos-dlya-suhoj-i-vlazhnoj-uborki-somet-cvp-278-p-2-turbiny-bak-78lplast-2000vt/</t>
  </si>
  <si>
    <t>40005-00020 (9356000900)</t>
  </si>
  <si>
    <t>Пылесос для сухой и влажной уборки Соmet CVP 278 PBH 2- турбины, бак 78л (пласт), 2400Вт</t>
  </si>
  <si>
    <t>https://him-auto.ru/pylesosy-pylevodososy-i-zapasnye-chasti/pylesos-dlya-suhoj-i-vlazhnoj-uborki-somet-cvp-278-pbh-2-turbiny-bak-78l-plast-2400vt/</t>
  </si>
  <si>
    <t>9356001100</t>
  </si>
  <si>
    <t>Пылесос для сухой и влажной уборки Соmet CVP 378 PBH, 3 турбины, бак 78л (пласт), 3600Вт</t>
  </si>
  <si>
    <t>https://him-auto.ru/pylesosy-pylevodososy-i-zapasnye-chasti/pylesos-dlya-suhoj-i-vlazhnoj-uborki-somet-cvp-378-pbh-3-turbiny-bak-78l-plast-3600vt/</t>
  </si>
  <si>
    <t>400040-00026 (9356001000)</t>
  </si>
  <si>
    <t>Пылесос для сухой и влажной уборки Соmet CVP 378 XBH, 3 турбины, бак 78л (нерж), 3600Вт</t>
  </si>
  <si>
    <t>https://him-auto.ru/pylesosy-pylevodososy-i-zapasnye-chasti/pylesos-dlya-suhoj-i-vlazhnoj-uborki-somet-cvp-378-xbh-3-turbiny-bak-78l-nerzh-3600vt/</t>
  </si>
  <si>
    <t>9351001100</t>
  </si>
  <si>
    <t>Пылесос для сухой и влажной уборки Соmet Windy 265 PF, 2 турбины, бак 65л(пласт), 2000Вт</t>
  </si>
  <si>
    <t>https://him-auto.ru/pylesosy-pylevodososy-i-zapasnye-chasti/pylesos-dlya-suhoj-i-vlazhnoj-uborki-somet-windy-265-pf-2-turbiny-bak-65lplast-2000vt/</t>
  </si>
  <si>
    <t>9351000100</t>
  </si>
  <si>
    <t>Пылесос для сухой уборки Comet Whisper V8; бак 15 л (пластик); 220В; 1300 Вт</t>
  </si>
  <si>
    <t>https://him-auto.ru/pylesosy-pylevodososy-i-zapasnye-chasti/pylesos-dlya-suhoj-uborki-comet-whisper-v8-bak-15-l-plastik-220v-1300-vt/</t>
  </si>
  <si>
    <t>9351000300</t>
  </si>
  <si>
    <t>Пылесос для сухой уборки Silent; бак 12 л (пластик); 220В; 800 Вт</t>
  </si>
  <si>
    <t>https://him-auto.ru/pylesosy-pylevodososy-i-zapasnye-chasti/pylesos-dlya-suhoj-uborki-silent-bak-12-l-plastik-220v-800-vt/</t>
  </si>
  <si>
    <t>9355000800</t>
  </si>
  <si>
    <t>Пылесос для сухой уборки аккумуляторный Comet CM 12 S FREE; бак 12 л (сталь); 18 В, 2,2 Ач</t>
  </si>
  <si>
    <t>https://him-auto.ru/pylesosy-pylevodososy-i-zapasnye-chasti/pylesos-dlya-suhoj-uborki-akkumulyatornyj-comet-cm-12-s-free-bak-12-l-stal-18-v-22-ach/</t>
  </si>
  <si>
    <t>9356002000</t>
  </si>
  <si>
    <t>Пылесос для сухой уборки Сомет CVP 112 Quiet бак 12 л (бак пластик); 220 В; 800 Вт</t>
  </si>
  <si>
    <t>https://him-auto.ru/pylesosy-pylevodososy-i-zapasnye-chasti/pylesos-dlya-suhoj-uborki-somet-cvp-112-quiet-bak-12-l-bak-plastik-220-v-800-vt/</t>
  </si>
  <si>
    <t>ASDO08072/MEC 440M XP</t>
  </si>
  <si>
    <t>Пылесос промышленный MEC WD 62/3 ST 3 турб, 3500Вт, 62 л, полн. компл.</t>
  </si>
  <si>
    <t>https://him-auto.ru/pylesosy-pylevodososy-i-zapasnye-chasti/pylesos-promyshlennyj-mec-wd-623-st-3-turb-3500vt-62-l-poln-kompl/</t>
  </si>
  <si>
    <t>WL092A-15LPS PLAST</t>
  </si>
  <si>
    <t>Пылесос строительный WL092A-15LPS PLAST (с розеткой)</t>
  </si>
  <si>
    <t>https://him-auto.ru/pylesosy-pylevodososy-i-zapasnye-chasti/pylesos-stroitelnyj-wl092a-15lps-plast-s-rozetkoj/</t>
  </si>
  <si>
    <t>WL092A-20LPS PLAST</t>
  </si>
  <si>
    <t>Пылесос строительный WL092A-20LPS PLAST (с розеткой)</t>
  </si>
  <si>
    <t>https://him-auto.ru/pylesosy-pylevodososy-i-zapasnye-chasti/pylesos-stroitelnyj-wl092a-20lps-plast-s-rozetkoj/</t>
  </si>
  <si>
    <t>WL092A-30LPS PLAST</t>
  </si>
  <si>
    <t>Пылесос строительный WL092A-30LPS PLAST (с розеткой и со сливом)</t>
  </si>
  <si>
    <t>https://him-auto.ru/pylesosy-pylevodososy-i-zapasnye-chasti/pylesos-stroitelnyj-wl092a-30lps-plast-s-rozetkoj-i-so-slivom/</t>
  </si>
  <si>
    <t>Пылесосы RGS с высоким потоком</t>
  </si>
  <si>
    <t>https://him-auto.ru/pylesosy-pylevodososy-i-zapasnye-chasti/pylesosy-rgs-s-vysokim-potokom/</t>
  </si>
  <si>
    <t>06733 MPVR (03963)</t>
  </si>
  <si>
    <t>Разветвитель</t>
  </si>
  <si>
    <t>https://him-auto.ru/pylesosy-pylevodososy-i-zapasnye-chasti/razvetvitel/</t>
  </si>
  <si>
    <t>72032 RCVR (01679)</t>
  </si>
  <si>
    <t>Разветвитель на 2 шланга 38/36мм - диаметр</t>
  </si>
  <si>
    <t>https://him-auto.ru/pylesosy-pylevodososy-i-zapasnye-chasti/razvetvitel-na-2-shlanga-3836mm-diametr/</t>
  </si>
  <si>
    <t>219003300</t>
  </si>
  <si>
    <t>Розетка для бака</t>
  </si>
  <si>
    <t>https://him-auto.ru/pylesosy-pylevodososy-i-zapasnye-chasti/rozetka-dlya-baka/</t>
  </si>
  <si>
    <t>04139 KTRI S (03452/BL)</t>
  </si>
  <si>
    <t>Розетка для эл. инструмента Justo</t>
  </si>
  <si>
    <t>https://him-auto.ru/pylesosy-pylevodososy-i-zapasnye-chasti/rozetka-dlya-ehl-instrumenta-justo/</t>
  </si>
  <si>
    <t>6180</t>
  </si>
  <si>
    <t>Рукоятка для пылесоса c подачей химии</t>
  </si>
  <si>
    <t>https://him-auto.ru/pylesosy-pylevodososy-i-zapasnye-chasti/rukoyatka-dlya-pylesosa-c-podachej-himii/</t>
  </si>
  <si>
    <t>09429 MPVR S (02993-1G6)</t>
  </si>
  <si>
    <t>Ручка боковая 423/433</t>
  </si>
  <si>
    <t>https://him-auto.ru/pylesosy-pylevodososy-i-zapasnye-chasti/ruchka-bokovaya-423433/</t>
  </si>
  <si>
    <t>28765 MPVR S  (1073 R)</t>
  </si>
  <si>
    <t>Ручка боковая 623/633</t>
  </si>
  <si>
    <t>https://him-auto.ru/pylesosy-pylevodososy-i-zapasnye-chasti/ruchka-bokovaya-623633/</t>
  </si>
  <si>
    <t>06677 MPVR S (03214)</t>
  </si>
  <si>
    <t>Ручка ведра 200, 200 IDRO</t>
  </si>
  <si>
    <t>https://him-auto.ru/pylesosy-pylevodososy-i-zapasnye-chasti/ruchka-vedra-200-200-idro/</t>
  </si>
  <si>
    <t>10061 MPVR (06097AR)</t>
  </si>
  <si>
    <t>Ручка головы пылесоса</t>
  </si>
  <si>
    <t>https://him-auto.ru/pylesosy-pylevodososy-i-zapasnye-chasti/ruchka-golovy-pylesosa/</t>
  </si>
  <si>
    <t>10064 MPVR (06097G6)</t>
  </si>
  <si>
    <t>https://him-auto.ru/pylesosy-pylevodososy-i-zapasnye-chasti/ruchka-golovy-pylesosa/?sku=155187</t>
  </si>
  <si>
    <t>08268 MPVR S (020725 AR)</t>
  </si>
  <si>
    <t>Ручка для TORNADO 215, 503</t>
  </si>
  <si>
    <t>https://him-auto.ru/pylesosy-pylevodososy-i-zapasnye-chasti/ruchka-dlya-tornado-215-503/</t>
  </si>
  <si>
    <t>08298 MPVR (020727 AR)</t>
  </si>
  <si>
    <t>Ручка для головы TORNADO 423, 433, 623, 633</t>
  </si>
  <si>
    <t>https://him-auto.ru/pylesosy-pylevodososy-i-zapasnye-chasti/ruchka-dlya-golovy-tornado-423-433-623-633/</t>
  </si>
  <si>
    <t>06763 MPVR S (06168)</t>
  </si>
  <si>
    <t>Ручка изогнутая для 200, 36мм - диаметр</t>
  </si>
  <si>
    <t>https://him-auto.ru/pylesosy-pylevodososy-i-zapasnye-chasti/ruchka-izognutaya-dlya-200-36mm-diametr/</t>
  </si>
  <si>
    <t>09689 MPVR (03733 AR)</t>
  </si>
  <si>
    <t>Ручка крышки 215 PANDA XP</t>
  </si>
  <si>
    <t>https://him-auto.ru/pylesosy-pylevodososy-i-zapasnye-chasti/ruchka-kryshki-215-panda-xp/</t>
  </si>
  <si>
    <t>Седло запорного цилиндра</t>
  </si>
  <si>
    <t>https://him-auto.ru/pylesosy-pylevodososy-i-zapasnye-chasti/sedlo-zapornogo-cilindra/</t>
  </si>
  <si>
    <t>06637 MPVR S (02898)</t>
  </si>
  <si>
    <t>Сепаратор для V 640 M</t>
  </si>
  <si>
    <t>https://him-auto.ru/pylesosy-pylevodososy-i-zapasnye-chasti/separator-dlya-v-640-m/</t>
  </si>
  <si>
    <t>35828 RCIN S (03690/OOT)</t>
  </si>
  <si>
    <t>Соединение-муфта для 200</t>
  </si>
  <si>
    <t>https://him-auto.ru/pylesosy-pylevodososy-i-zapasnye-chasti/soedinenie-mufta-dlya-200/</t>
  </si>
  <si>
    <t>38912 RCIN S (03664/OOT)</t>
  </si>
  <si>
    <t>Соединение-ниппель для 200</t>
  </si>
  <si>
    <t>https://him-auto.ru/pylesosy-pylevodososy-i-zapasnye-chasti/soedinenie-nippel-dlya-200/</t>
  </si>
  <si>
    <t>34789 MPVR (02196)</t>
  </si>
  <si>
    <t>Стяжка резиновая для балки 0042R</t>
  </si>
  <si>
    <t>https://him-auto.ru/pylesosy-pylevodososy-i-zapasnye-chasti/styazhka-rezinovaya-dlya-balki-0042r/</t>
  </si>
  <si>
    <t>MPVR34789</t>
  </si>
  <si>
    <t>https://him-auto.ru/pylesosy-pylevodososy-i-zapasnye-chasti/styazhka-rezinovaya-dlya-balki-0042r/?sku=160320</t>
  </si>
  <si>
    <t>31994 MPVR (02707)</t>
  </si>
  <si>
    <t>Стяжка резиновая для влаги (химчистка) от 72123 SPPV (2725R)</t>
  </si>
  <si>
    <t>https://him-auto.ru/pylesosy-pylevodososy-i-zapasnye-chasti/styazhka-rezinovaya-dlya-vlagi-himchistka-ot-72123-sppv-2725r/</t>
  </si>
  <si>
    <t>38641 MPVR (02333)</t>
  </si>
  <si>
    <t>Стяжка сменная для щетки (резина) 38см - длина</t>
  </si>
  <si>
    <t>https://him-auto.ru/pylesosy-pylevodososy-i-zapasnye-chasti/styazhka-smennaya-dlya-shchetki-rezina-38sm-dlina/</t>
  </si>
  <si>
    <t>MPVR38641</t>
  </si>
  <si>
    <t>Стяжка сменная для щетки (резина) 400 мм</t>
  </si>
  <si>
    <t>https://him-auto.ru/pylesosy-pylevodososy-i-zapasnye-chasti/styazhka-smennaya-dlya-shchetki-rezina-400-mm/</t>
  </si>
  <si>
    <t>76599 SPPV (02327)</t>
  </si>
  <si>
    <t>Стяжка сменная для щетки (щетина) 38см - длина</t>
  </si>
  <si>
    <t>https://him-auto.ru/pylesosy-pylevodososy-i-zapasnye-chasti/styazhka-smennaya-dlya-shchetki-shchetina-38sm-dlina/</t>
  </si>
  <si>
    <t>03699 KTRI (02327/BL)</t>
  </si>
  <si>
    <t>https://him-auto.ru/pylesosy-pylevodososy-i-zapasnye-chasti/styazhka-smennaya-dlya-shchetki-shchetina-38sm-dlina/?sku=155029</t>
  </si>
  <si>
    <t>TROLLEY</t>
  </si>
  <si>
    <t>Тележка в комплекте с колесами для пылесоса, 70 л</t>
  </si>
  <si>
    <t>https://him-auto.ru/pylesosy-pylevodososy-i-zapasnye-chasti/telezhka-v-komplekte-s-kolesami-dlya-pylesosa-70-l/</t>
  </si>
  <si>
    <t>MPVR28771</t>
  </si>
  <si>
    <t>Тележка НЕВАДА 600 07713</t>
  </si>
  <si>
    <t>https://him-auto.ru/pylesosy-pylevodososy-i-zapasnye-chasti/telezhka-nevada-600-07713/</t>
  </si>
  <si>
    <t>02008 MEVR S (03494)</t>
  </si>
  <si>
    <t>Термо-плата PANDA и TORNADO</t>
  </si>
  <si>
    <t>https://him-auto.ru/pylesosy-pylevodososy-i-zapasnye-chasti/termo-plata-panda-i-tornado/</t>
  </si>
  <si>
    <t>41830 METK S (6235)</t>
  </si>
  <si>
    <t>Терморегулятор для TORNADO 600 MARK</t>
  </si>
  <si>
    <t>https://him-auto.ru/pylesosy-pylevodososy-i-zapasnye-chasti/termoregulyator-dlya-tornado-600-mark/</t>
  </si>
  <si>
    <t>BF570-17 (24120500003)</t>
  </si>
  <si>
    <t>Тканевый фильтр 15 литров (без кольца)</t>
  </si>
  <si>
    <t>https://him-auto.ru/pylesosy-pylevodososy-i-zapasnye-chasti/tkanevyj-filtr-15-litrov-bez-kolca/</t>
  </si>
  <si>
    <t>BF575-17 (24120500004)</t>
  </si>
  <si>
    <t>Тканевый фильтр 30 литров (без кольца)</t>
  </si>
  <si>
    <t>https://him-auto.ru/pylesosy-pylevodososy-i-zapasnye-chasti/tkanevyj-filtr-30-litrov-bez-kolca/</t>
  </si>
  <si>
    <t>BF580-19 (31000110049)</t>
  </si>
  <si>
    <t>Тканевый фильтр 70 литров (без кольца)</t>
  </si>
  <si>
    <t>https://him-auto.ru/pylesosy-pylevodososy-i-zapasnye-chasti/tkanevyj-filtr-70-litrov-bez-kolca/</t>
  </si>
  <si>
    <t>BF570-17 (24120500003)1</t>
  </si>
  <si>
    <t>Тканевый фильтр в сборе 15 литров</t>
  </si>
  <si>
    <t>https://him-auto.ru/pylesosy-pylevodososy-i-zapasnye-chasti/tkanevyj-filtr-v-sbore-15-litrov/</t>
  </si>
  <si>
    <t>BF575-17 (24120500004)1</t>
  </si>
  <si>
    <t>Тканевый фильтр в сборе 30 литров</t>
  </si>
  <si>
    <t>https://him-auto.ru/pylesosy-pylevodososy-i-zapasnye-chasti/tkanevyj-filtr-v-sbore-30-litrov/</t>
  </si>
  <si>
    <t>BF580-19 (31000110049)1</t>
  </si>
  <si>
    <t>Тканевый фильтр корзина в сборе</t>
  </si>
  <si>
    <t>https://him-auto.ru/pylesosy-pylevodososy-i-zapasnye-chasti/tkanevyj-filtr-korzina-v-sbore/</t>
  </si>
  <si>
    <t>BF580-18 (31000110049)</t>
  </si>
  <si>
    <t>Тканевый фильтр корзина в сборе для бака 70 литров с каркасом</t>
  </si>
  <si>
    <t>https://him-auto.ru/pylesosy-pylevodososy-i-zapasnye-chasti/tkanevyj-filtr-korzina-v-sbore-dlya-baka-70-litrov-s-karkasom/</t>
  </si>
  <si>
    <t>Трехфазные пылесосы RGS</t>
  </si>
  <si>
    <t>https://him-auto.ru/pylesosy-pylevodososy-i-zapasnye-chasti/trehfaznye-pylesosy-rgs/</t>
  </si>
  <si>
    <t>07311 MPVR (021440)</t>
  </si>
  <si>
    <t>Трубка всасывающая телескопическая для "FOX"</t>
  </si>
  <si>
    <t>https://him-auto.ru/pylesosy-pylevodososy-i-zapasnye-chasti/trubka-vsasyvayushchaya-teleskopicheskaya-dlya-fox/</t>
  </si>
  <si>
    <t>06274 MPVR (00028)</t>
  </si>
  <si>
    <t>Трубка всасывающая телескопическая для YVO (метал), 36мм - диаметр</t>
  </si>
  <si>
    <t>https://him-auto.ru/pylesosy-pylevodososy-i-zapasnye-chasti/trubka-vsasyvayushchaya-teleskopicheskaya-dlya-yvo-metal-36mm-diametr/</t>
  </si>
  <si>
    <t>41603 MPVR (00614)</t>
  </si>
  <si>
    <t>Трубка коннектор угловая (пластик), 36мм - диаметр</t>
  </si>
  <si>
    <t>https://him-auto.ru/pylesosy-pylevodososy-i-zapasnye-chasti/trubka-konnektor-uglovaya-plastik-36mm-diametr/</t>
  </si>
  <si>
    <t>43047 MPVR (06389)</t>
  </si>
  <si>
    <t>Трубка коннектор угловая (пластик), 38мм - диаметр</t>
  </si>
  <si>
    <t>https://him-auto.ru/pylesosy-pylevodososy-i-zapasnye-chasti/trubka-konnektor-uglovaya-plastik-38mm-diametr/</t>
  </si>
  <si>
    <t>72128 LAFN S (06261)</t>
  </si>
  <si>
    <t>Трубка коннектор угловая для 200 Idro</t>
  </si>
  <si>
    <t>https://him-auto.ru/pylesosy-pylevodososy-i-zapasnye-chasti/trubka-konnektor-uglovaya-dlya-200-idro/</t>
  </si>
  <si>
    <t>10807 MPVR</t>
  </si>
  <si>
    <t>Трубка коннектор угловая для LP 1/12, 36мм - диаметр</t>
  </si>
  <si>
    <t>https://him-auto.ru/pylesosy-pylevodososy-i-zapasnye-chasti/trubka-konnektor-uglovaya-dlya-lp-112-36mm-diametr/</t>
  </si>
  <si>
    <t>06278 MPVR S (06158 G52)</t>
  </si>
  <si>
    <t>Трубка коннектор угловая для YVO, 36мм - диаметр</t>
  </si>
  <si>
    <t>https://him-auto.ru/pylesosy-pylevodososy-i-zapasnye-chasti/trubka-konnektor-uglovaya-dlya-yvo-36mm-diametr/</t>
  </si>
  <si>
    <t>85073 LAFN (06158)</t>
  </si>
  <si>
    <t>Трубка коннектор угловая с вращением (пластик), 36мм - диаметр</t>
  </si>
  <si>
    <t>https://him-auto.ru/pylesosy-pylevodososy-i-zapasnye-chasti/trubka-konnektor-uglovaya-s-vrashcheniem-plastik-36mm-diametr/</t>
  </si>
  <si>
    <t>3208063800</t>
  </si>
  <si>
    <t>Трубка с игибом Ø 35</t>
  </si>
  <si>
    <t>https://him-auto.ru/pylesosy-pylevodososy-i-zapasnye-chasti/trubka-s-igibom-ø-35/</t>
  </si>
  <si>
    <t>MPVR41603</t>
  </si>
  <si>
    <t>Трубка угловая (D36) 00614</t>
  </si>
  <si>
    <t>https://him-auto.ru/pylesosy-pylevodososy-i-zapasnye-chasti/trubka-uglovaya-d36-00614/</t>
  </si>
  <si>
    <t>MPVR43047</t>
  </si>
  <si>
    <t>Трубка угловая (D38) для 503,423,433,623,633 06389 06389</t>
  </si>
  <si>
    <t>https://him-auto.ru/pylesosy-pylevodososy-i-zapasnye-chasti/trubka-uglovaya-d38-dlya-503423433623633-06389-06389/</t>
  </si>
  <si>
    <t>6158</t>
  </si>
  <si>
    <t>Трубка угловая с резьбой (D36) 203,215, Leo</t>
  </si>
  <si>
    <t>https://him-auto.ru/pylesosy-pylevodososy-i-zapasnye-chasti/trubka-uglovaya-s-rezboj-d36-203215-leo/</t>
  </si>
  <si>
    <t>43048 LAFN (06387)</t>
  </si>
  <si>
    <t>Трубка удлинитель (плас-металл) 38мм - диаметр</t>
  </si>
  <si>
    <t>https://him-auto.ru/pylesosy-pylevodososy-i-zapasnye-chasti/trubka-udlinitel-plas-metall-38mm-diametr/</t>
  </si>
  <si>
    <t>28238 LAFN (06240)</t>
  </si>
  <si>
    <t>Трубка удлинитель (плас-металл), 36мм - диаметр</t>
  </si>
  <si>
    <t>https://him-auto.ru/pylesosy-pylevodososy-i-zapasnye-chasti/trubka-udlinitel-plas-metall-36mm-diametr/</t>
  </si>
  <si>
    <t>00988 TBFX (51D0530102)</t>
  </si>
  <si>
    <t>Трубка удлинитель для YP1400/6</t>
  </si>
  <si>
    <t>https://him-auto.ru/pylesosy-pylevodososy-i-zapasnye-chasti/trubka-udlinitel-dlya-yp14006/</t>
  </si>
  <si>
    <t>00509 TBBP (06240 G52)</t>
  </si>
  <si>
    <t>Трубка удлинитель для YVO (плас-металл), 36мм - диаметр</t>
  </si>
  <si>
    <t>https://him-auto.ru/pylesosy-pylevodososy-i-zapasnye-chasti/trubka-udlinitel-dlya-yvo-plas-metall-36mm-diametr/</t>
  </si>
  <si>
    <t>LAFN28238</t>
  </si>
  <si>
    <t>Трубка удлинительная алюминий/пластик L=500 (D36) 06240</t>
  </si>
  <si>
    <t>https://him-auto.ru/pylesosy-pylevodososy-i-zapasnye-chasti/trubka-udlinitelnaya-alyuminijplastik-l500-d36-06240/</t>
  </si>
  <si>
    <t>LAFN43048</t>
  </si>
  <si>
    <t>Трубка удлинительная алюминий/пластик L=500 (D38) 06387</t>
  </si>
  <si>
    <t>https://him-auto.ru/pylesosy-pylevodososy-i-zapasnye-chasti/trubka-udlinitelnaya-alyuminijplastik-l500-d38-06387/</t>
  </si>
  <si>
    <t>3208063400</t>
  </si>
  <si>
    <t>Трубка удлинительная для пылесосов 480 мм Ø 35</t>
  </si>
  <si>
    <t>https://him-auto.ru/pylesosy-pylevodososy-i-zapasnye-chasti/trubka-udlinitelnaya-dlya-pylesosov-480-mm-ø-35/</t>
  </si>
  <si>
    <t>3208061600</t>
  </si>
  <si>
    <t>Трубка удлинительная из алюминия Ø 35</t>
  </si>
  <si>
    <t>https://him-auto.ru/pylesosy-pylevodososy-i-zapasnye-chasti/trubka-udlinitelnaya-iz-alyuminiya-ø-35/</t>
  </si>
  <si>
    <t>3208063600</t>
  </si>
  <si>
    <t>Трубка удлинительная телескопическая стальная для пылесосов Ø 35</t>
  </si>
  <si>
    <t>https://him-auto.ru/pylesosy-pylevodososy-i-zapasnye-chasti/trubka-udlinitelnaya-teleskopicheskaya-stalnaya-dlya-pylesosov-ø-35/</t>
  </si>
  <si>
    <t>49581 LAFN S (07243)</t>
  </si>
  <si>
    <t>Трубка удлинительная, 1м - длина, 50мм - диаметр</t>
  </si>
  <si>
    <t>https://him-auto.ru/pylesosy-pylevodososy-i-zapasnye-chasti/trubka-udlinitelnaya-1m-dlina-50mm-diametr/</t>
  </si>
  <si>
    <t>3208151200</t>
  </si>
  <si>
    <t>Трубка хромированная стальная рукоятка Ø 50</t>
  </si>
  <si>
    <t>https://him-auto.ru/pylesosy-pylevodososy-i-zapasnye-chasti/trubka-hromirovannaya-stalnaya-rukoyatka-ø-50/</t>
  </si>
  <si>
    <t>BF732</t>
  </si>
  <si>
    <t>Трубки для пылесоса Д.40мм. комплект 2 шт.</t>
  </si>
  <si>
    <t>https://him-auto.ru/pylesosy-pylevodososy-i-zapasnye-chasti/trubki-dlya-pylesosa-d40mm-komplekt-2-sht/</t>
  </si>
  <si>
    <t>3301160100</t>
  </si>
  <si>
    <t>Трубки удлинительная для пылесосов из хромированного металла 490 мм Ø 35(компл.2шт)</t>
  </si>
  <si>
    <t>https://him-auto.ru/pylesosy-pylevodososy-i-zapasnye-chasti/trubki-udlinitelnaya-dlya-pylesosov-iz-hromirovannogo-metalla-490-mm-ø-35kompl2sht/</t>
  </si>
  <si>
    <t>3208063000</t>
  </si>
  <si>
    <t>Трубки удлинительные из хромированного металла для пылесосов (прямая + изогнутая) Ø 40</t>
  </si>
  <si>
    <t>https://him-auto.ru/pylesosy-pylevodososy-i-zapasnye-chasti/trubki-udlinitelnye-iz-hromirovannogo-metalla-dlya-pylesosov-pryamaya-izognutaya-ø-40/</t>
  </si>
  <si>
    <t>3208063200</t>
  </si>
  <si>
    <t>Трубки удлинительные из хромированного металла для пылесосов 480 мм Ø 35</t>
  </si>
  <si>
    <t>https://him-auto.ru/pylesosy-pylevodososy-i-zapasnye-chasti/trubki-udlinitelnye-iz-hromirovannogo-metalla-dlya-pylesosov-480-mm-ø-35/</t>
  </si>
  <si>
    <t>28716 MOMO S/03891/Е</t>
  </si>
  <si>
    <t>Турбина (1000 W) 28716 MOMO S</t>
  </si>
  <si>
    <t>https://him-auto.ru/pylesosy-pylevodososy-i-zapasnye-chasti/turbina-1000-w-28716-momo-s/</t>
  </si>
  <si>
    <t>11 ME 00/61300501</t>
  </si>
  <si>
    <t>Турбина (1000W) 11 ME 00</t>
  </si>
  <si>
    <t>https://him-auto.ru/pylesosy-pylevodososy-i-zapasnye-chasti/turbina-1000w-11-me-00/</t>
  </si>
  <si>
    <t>11 ME 00 CHG/61300525</t>
  </si>
  <si>
    <t>Турбина (1000W) 11 ME 00 CHG</t>
  </si>
  <si>
    <t>https://him-auto.ru/pylesosy-pylevodososy-i-zapasnye-chasti/turbina-1000w-11-me-00-chg/</t>
  </si>
  <si>
    <t>00438 MOMO/5162131904</t>
  </si>
  <si>
    <t>Турбина (1200 W) 00438 MOMO</t>
  </si>
  <si>
    <t>https://him-auto.ru/pylesosy-pylevodososy-i-zapasnye-chasti/turbina-1200-w-00438-momo/</t>
  </si>
  <si>
    <t>11 ME 06/61300524</t>
  </si>
  <si>
    <t>Турбина (1200W) 11 ME 06</t>
  </si>
  <si>
    <t>https://him-auto.ru/pylesosy-pylevodososy-i-zapasnye-chasti/turbina-1200w-11-me-06/</t>
  </si>
  <si>
    <t>11 ME 06 C CHG/1200W</t>
  </si>
  <si>
    <t>Турбина (1200W) 11 ME 06 C CHG</t>
  </si>
  <si>
    <t>https://him-auto.ru/pylesosy-pylevodososy-i-zapasnye-chasti/turbina-1200w-11-me-06-c-chg/</t>
  </si>
  <si>
    <t>11 ME 130/ 62108.20045, 1842</t>
  </si>
  <si>
    <t>Турбина (1200W) 11 ME 130</t>
  </si>
  <si>
    <t>https://him-auto.ru/pylesosy-pylevodososy-i-zapasnye-chasti/turbina-1200w-11-me-130/</t>
  </si>
  <si>
    <t>11 ME 60/63200380</t>
  </si>
  <si>
    <t>Турбина (1200W) 11 ME 60</t>
  </si>
  <si>
    <t>https://him-auto.ru/pylesosy-pylevodososy-i-zapasnye-chasti/turbina-1200w-11-me-60/</t>
  </si>
  <si>
    <t>11 МЕ 06 С-2/61300832</t>
  </si>
  <si>
    <t>Турбина (1200W) 11 МЕ 06 С-2</t>
  </si>
  <si>
    <t>https://him-auto.ru/pylesosy-pylevodososy-i-zapasnye-chasti/turbina-1200w-11-me-06-s-2/</t>
  </si>
  <si>
    <t>CG58</t>
  </si>
  <si>
    <t>Турбина (1200W) CG58</t>
  </si>
  <si>
    <t>https://him-auto.ru/pylesosy-pylevodososy-i-zapasnye-chasti/turbina-1200w-cg58/</t>
  </si>
  <si>
    <t>JBJ-301</t>
  </si>
  <si>
    <t>Турбина (1200W) JBJ-301</t>
  </si>
  <si>
    <t>https://him-auto.ru/pylesosy-pylevodososy-i-zapasnye-chasti/turbina-1200w-jbj-301/</t>
  </si>
  <si>
    <t>49602 MOMO/063300002</t>
  </si>
  <si>
    <t>Турбина (1300 W) 49602 MOMO</t>
  </si>
  <si>
    <t>https://him-auto.ru/pylesosy-pylevodososy-i-zapasnye-chasti/turbina-1300-w-49602-momo/</t>
  </si>
  <si>
    <t>CG23</t>
  </si>
  <si>
    <t>Турбина (1300W) CG23</t>
  </si>
  <si>
    <t>https://him-auto.ru/pylesosy-pylevodososy-i-zapasnye-chasti/turbina-1300w-cg23/</t>
  </si>
  <si>
    <t>11 ME 132/467.3.601-7</t>
  </si>
  <si>
    <t>Турбина (1350W) 11 ME 132</t>
  </si>
  <si>
    <t>https://him-auto.ru/pylesosy-pylevodososy-i-zapasnye-chasti/turbina-1350w-11-me-132/</t>
  </si>
  <si>
    <t>11 ME 77/467.3.403-3</t>
  </si>
  <si>
    <t>Турбина (1350W) 11 ME 77</t>
  </si>
  <si>
    <t>https://him-auto.ru/pylesosy-pylevodososy-i-zapasnye-chasti/turbina-1350w-11-me-77/</t>
  </si>
  <si>
    <t>00435 MOMO/5160772502</t>
  </si>
  <si>
    <t>Турбина (1400 W) 00435 MOMO</t>
  </si>
  <si>
    <t>https://him-auto.ru/pylesosy-pylevodososy-i-zapasnye-chasti/turbina-1400-w-00435-momo/</t>
  </si>
  <si>
    <t>11 ME 06 C CHG/1400W</t>
  </si>
  <si>
    <t>Турбина (1400W) 11 ME 06 C CHG</t>
  </si>
  <si>
    <t>https://him-auto.ru/pylesosy-pylevodososy-i-zapasnye-chasti/turbina-1400w-11-me-06-c-chg/</t>
  </si>
  <si>
    <t>CG03</t>
  </si>
  <si>
    <t>Турбина (1400W) CG03</t>
  </si>
  <si>
    <t>https://him-auto.ru/pylesosy-pylevodososy-i-zapasnye-chasti/turbina-1400w-cg03/</t>
  </si>
  <si>
    <t>V2Z-P25</t>
  </si>
  <si>
    <t>Турбина (1400W) V2Z-P25</t>
  </si>
  <si>
    <t>https://him-auto.ru/pylesosy-pylevodososy-i-zapasnye-chasti/turbina-1400w-v2z-p25/</t>
  </si>
  <si>
    <t>VCM-06S CHG</t>
  </si>
  <si>
    <t>Турбина (1600W) VCM-06S CHG</t>
  </si>
  <si>
    <t>https://him-auto.ru/pylesosy-pylevodososy-i-zapasnye-chasti/turbina-1600w-vcm-06s-chg/</t>
  </si>
  <si>
    <t>PH29 (CG08)</t>
  </si>
  <si>
    <t>Турбина (1800W) PH29</t>
  </si>
  <si>
    <t>https://him-auto.ru/pylesosy-pylevodososy-i-zapasnye-chasti/turbina-1800w-ph29/</t>
  </si>
  <si>
    <t>VCM-08S CHG</t>
  </si>
  <si>
    <t>Турбина (1800W) VCM-08S CHG</t>
  </si>
  <si>
    <t>https://him-auto.ru/pylesosy-pylevodososy-i-zapasnye-chasti/turbina-1800w-vcm-08s-chg/</t>
  </si>
  <si>
    <t>VCM-20 CHG</t>
  </si>
  <si>
    <t>Турбина (2000W) VCM-20 CHG</t>
  </si>
  <si>
    <t>https://him-auto.ru/pylesosy-pylevodososy-i-zapasnye-chasti/turbina-2000w-vcm-20-chg/</t>
  </si>
  <si>
    <t>00214 MOMO/119852-18</t>
  </si>
  <si>
    <t>Турбина 00214 MOMO</t>
  </si>
  <si>
    <t>https://him-auto.ru/pylesosy-pylevodososy-i-zapasnye-chasti/turbina-00214-momo/</t>
  </si>
  <si>
    <t>00349 MOCC/00417 MOCC/181539</t>
  </si>
  <si>
    <t>Турбина 00349 MOCC</t>
  </si>
  <si>
    <t>https://him-auto.ru/pylesosy-pylevodososy-i-zapasnye-chasti/turbina-00349-mocc/</t>
  </si>
  <si>
    <t>00349 MOCC/119967-01</t>
  </si>
  <si>
    <t>https://him-auto.ru/pylesosy-pylevodososy-i-zapasnye-chasti/turbina-00349-mocc/?sku=155238</t>
  </si>
  <si>
    <t>00397 MOCC/122199-02</t>
  </si>
  <si>
    <t>Турбина 00397 MOCC</t>
  </si>
  <si>
    <t>https://him-auto.ru/pylesosy-pylevodososy-i-zapasnye-chasti/turbina-00397-mocc/</t>
  </si>
  <si>
    <t>00624 MOMO S/03890/Е</t>
  </si>
  <si>
    <t>Турбина 00624 MOMO S</t>
  </si>
  <si>
    <t>https://him-auto.ru/pylesosy-pylevodososy-i-zapasnye-chasti/turbina-00624-momo-s/</t>
  </si>
  <si>
    <t>MOMO00624</t>
  </si>
  <si>
    <t>Турбина 1,2 кВт 220-240 для Chao Bao, Soteco В1-69 B2-177 Д-143</t>
  </si>
  <si>
    <t>https://him-auto.ru/pylesosy-pylevodososy-i-zapasnye-chasti/turbina-12-kvt-220-240-dlya-chao-bao-soteco-v1-69-b2-177-d-143/</t>
  </si>
  <si>
    <t>00402 MOMO (020714)</t>
  </si>
  <si>
    <t>Турбина 1000 W</t>
  </si>
  <si>
    <t>https://him-auto.ru/pylesosy-pylevodososy-i-zapasnye-chasti/turbina-1000-w/</t>
  </si>
  <si>
    <t>28716 MOMO S (03891/Е)</t>
  </si>
  <si>
    <t>Турбина 1000 W (200,215)</t>
  </si>
  <si>
    <t>https://him-auto.ru/pylesosy-pylevodososy-i-zapasnye-chasti/turbina-1000-w-200215/</t>
  </si>
  <si>
    <t>PX-PR-LG 1000</t>
  </si>
  <si>
    <t>Турбина 1000Вт; 220В. двухстадийная</t>
  </si>
  <si>
    <t>https://him-auto.ru/pylesosy-pylevodososy-i-zapasnye-chasti/turbina-1000vt-220v-dvuhstadijnaya/</t>
  </si>
  <si>
    <t>PX-PXT 1000</t>
  </si>
  <si>
    <t>Турбина 1000Вт; 220В.одностадийная</t>
  </si>
  <si>
    <t>https://him-auto.ru/pylesosy-pylevodososy-i-zapasnye-chasti/turbina-1000vt-220vodnostadijnaya/</t>
  </si>
  <si>
    <t>00624 MOMO S (03890/E)</t>
  </si>
  <si>
    <t>Турбина 1200 W (400,600)</t>
  </si>
  <si>
    <t>https://him-auto.ru/pylesosy-pylevodososy-i-zapasnye-chasti/turbina-1200-w-400600/</t>
  </si>
  <si>
    <t>40006 MOMO (020047)</t>
  </si>
  <si>
    <t>Турбина 1200 W (одностадийная), для Soteco MOMO40006</t>
  </si>
  <si>
    <t>https://him-auto.ru/pylesosy-pylevodososy-i-zapasnye-chasti/turbina-1200-w-odnostadijnaya-dlya-soteco-momo40006/</t>
  </si>
  <si>
    <t>S03890</t>
  </si>
  <si>
    <t>Турбина 1200Вт</t>
  </si>
  <si>
    <t>https://him-auto.ru/pylesosy-pylevodososy-i-zapasnye-chasti/turbina-1200vt/</t>
  </si>
  <si>
    <t>V4Z-A30-D-L (AL)</t>
  </si>
  <si>
    <t>Турбина 1200Вт; 220В. двухстадийная</t>
  </si>
  <si>
    <t>https://him-auto.ru/pylesosy-pylevodososy-i-zapasnye-chasti/turbina-1200vt-220v-dvuhstadijnaya/</t>
  </si>
  <si>
    <t>V4Z-A30-D (CU)</t>
  </si>
  <si>
    <t>Турбина 1200Вт; 220В. двухстадийная В1-69 B2-177 Д-143</t>
  </si>
  <si>
    <t>https://him-auto.ru/pylesosy-pylevodososy-i-zapasnye-chasti/turbina-1200vt-220v-dvuhstadijnaya-v1-69-b2-177-d-143/</t>
  </si>
  <si>
    <t>XRA30-001</t>
  </si>
  <si>
    <t>https://him-auto.ru/pylesosy-pylevodososy-i-zapasnye-chasti/turbina-1200vt-220v-dvuhstadijnaya-v1-69-b2-177-d-143/?sku=160602</t>
  </si>
  <si>
    <t>PX-PXT 1200</t>
  </si>
  <si>
    <t>Турбина 1200Вт; 220В.одностадийная</t>
  </si>
  <si>
    <t>https://him-auto.ru/pylesosy-pylevodososy-i-zapasnye-chasti/turbina-1200vt-220vodnostadijnaya/</t>
  </si>
  <si>
    <t>XRP22-001</t>
  </si>
  <si>
    <t>Турбина 1200Вт; 220В.одностадийная B1-39 B2-129 D-130</t>
  </si>
  <si>
    <t>https://him-auto.ru/pylesosy-pylevodososy-i-zapasnye-chasti/turbina-1200vt-220vodnostadijnaya-b1-39-b2-129-d-130/</t>
  </si>
  <si>
    <t>49602 MOMO (06425 SA)</t>
  </si>
  <si>
    <t>Турбина 1300W (Justo 504)</t>
  </si>
  <si>
    <t>https://him-auto.ru/pylesosy-pylevodososy-i-zapasnye-chasti/turbina-1300w-justo-504/</t>
  </si>
  <si>
    <t>XRA30-008</t>
  </si>
  <si>
    <t>Турбина 1300Вт; 220В.одностадийная В1-40 B2-138 Д-144</t>
  </si>
  <si>
    <t>https://him-auto.ru/pylesosy-pylevodososy-i-zapasnye-chasti/turbina-1300vt-220vodnostadijnaya-v1-40-b2-138-d-144/</t>
  </si>
  <si>
    <t>V2Z-A30-D</t>
  </si>
  <si>
    <t>Турбина 1400Вт; 220В.одностадийная В1-40 B2-138 Д-144</t>
  </si>
  <si>
    <t>https://him-auto.ru/pylesosy-pylevodososy-i-zapasnye-chasti/turbina-1400vt-220vodnostadijnaya-v1-40-b2-138-d-144/</t>
  </si>
  <si>
    <t>TUVR00082</t>
  </si>
  <si>
    <t>Турбина 2,2 кВт 3-х фазная</t>
  </si>
  <si>
    <t>https://him-auto.ru/pylesosy-pylevodososy-i-zapasnye-chasti/turbina-22-kvt-3-h-faznaya/</t>
  </si>
  <si>
    <t>XRA33-005</t>
  </si>
  <si>
    <t>Турбина 400Вт; 220В трехстадийная</t>
  </si>
  <si>
    <t>https://him-auto.ru/pylesosy-pylevodososy-i-zapasnye-chasti/turbina-400vt-220v-trehstadijnaya/</t>
  </si>
  <si>
    <t>49141 MOMO/061500038</t>
  </si>
  <si>
    <t>Турбина 49141 MOMO</t>
  </si>
  <si>
    <t>https://him-auto.ru/pylesosy-pylevodososy-i-zapasnye-chasti/turbina-49141-momo/</t>
  </si>
  <si>
    <t>XRPA33-003</t>
  </si>
  <si>
    <t>Турбина 550Вт; 24В</t>
  </si>
  <si>
    <t>https://him-auto.ru/pylesosy-pylevodososy-i-zapasnye-chasti/turbina-550vt-24v/</t>
  </si>
  <si>
    <t>XRP26-001</t>
  </si>
  <si>
    <t>Турбина 750Вт; 220В.одностадийная B1-45 B2-130 D-140</t>
  </si>
  <si>
    <t>https://him-auto.ru/pylesosy-pylevodososy-i-zapasnye-chasti/turbina-750vt-220vodnostadijnaya-b1-45-b2-130-d-140/</t>
  </si>
  <si>
    <t>MOMO40006</t>
  </si>
  <si>
    <t>Турбина BS282 1200W 220B Amsterdam (для Soteco серии HP) В1-40 B2-138 Д-144 020047</t>
  </si>
  <si>
    <t>https://him-auto.ru/pylesosy-pylevodososy-i-zapasnye-chasti/turbina-bs282-1200w-220b-amsterdam-dlya-soteco-serii-hp-v1-40-b2-138-d-144-020047/</t>
  </si>
  <si>
    <t>MOMO00435</t>
  </si>
  <si>
    <t>Турбина ECOCLEAN 230В для YP1400/20, В1-30 В2-125 Д-135</t>
  </si>
  <si>
    <t>https://him-auto.ru/pylesosy-pylevodososy-i-zapasnye-chasti/turbina-ecoclean-230v-dlya-yp140020-v1-30-v2-125-d-135/</t>
  </si>
  <si>
    <t>00435 MOMO (5160772502)</t>
  </si>
  <si>
    <t>Турбина YP1400/20</t>
  </si>
  <si>
    <t>https://him-auto.ru/pylesosy-pylevodososy-i-zapasnye-chasti/turbina-yp140020/</t>
  </si>
  <si>
    <t>00438 MOMO (5162131904)</t>
  </si>
  <si>
    <t>Турбина YP1400/6</t>
  </si>
  <si>
    <t>https://him-auto.ru/pylesosy-pylevodososy-i-zapasnye-chasti/turbina-yp14006/</t>
  </si>
  <si>
    <t>11 ME 62/64200027</t>
  </si>
  <si>
    <t>Турбина высокооборотистая (1300W) 11 ME 62</t>
  </si>
  <si>
    <t>https://him-auto.ru/pylesosy-pylevodososy-i-zapasnye-chasti/turbina-vysokooborotistaya-1300w-11-me-62/</t>
  </si>
  <si>
    <t>11 ME 65/63700003/61109.50011</t>
  </si>
  <si>
    <t>Турбина высокооборотистая (1300W) 11 ME 65</t>
  </si>
  <si>
    <t>https://him-auto.ru/pylesosy-pylevodososy-i-zapasnye-chasti/turbina-vysokooborotistaya-1300w-11-me-65/</t>
  </si>
  <si>
    <t>NV-62</t>
  </si>
  <si>
    <t>Турбина высокооборотная 1300W (высота 131,2 мм, диаметр вентилятора 129,4 мм)</t>
  </si>
  <si>
    <t>https://him-auto.ru/pylesosy-pylevodososy-i-zapasnye-chasti/turbina-vysokooborotnaya-1300w-vysota-1312-mm-diametr-ventilyatora-1294-mm/</t>
  </si>
  <si>
    <t>NV-65</t>
  </si>
  <si>
    <t>Турбина высокооборотная 1300W (высота 136 мм, диаметр вентилятора 142,8 мм)</t>
  </si>
  <si>
    <t>https://him-auto.ru/pylesosy-pylevodososy-i-zapasnye-chasti/turbina-vysokooborotnaya-1300w-vysota-136-mm-diametr-ventilyatora-1428-mm/</t>
  </si>
  <si>
    <t>00527 MOMO (021671)</t>
  </si>
  <si>
    <t>Турбина для TORNADO 600 MARK</t>
  </si>
  <si>
    <t>https://him-auto.ru/pylesosy-pylevodososy-i-zapasnye-chasti/turbina-dlya-tornado-600-mark/</t>
  </si>
  <si>
    <t>MOMO00438</t>
  </si>
  <si>
    <t>Турбина для YP1400/6, В1-30 В2-115 Д-115</t>
  </si>
  <si>
    <t>https://him-auto.ru/pylesosy-pylevodososy-i-zapasnye-chasti/turbina-dlya-yp14006-v1-30-v2-115-d-115/</t>
  </si>
  <si>
    <t>01021 MOMO</t>
  </si>
  <si>
    <t>Турбина одностадийная (1200W) 01021 MOMO</t>
  </si>
  <si>
    <t>https://him-auto.ru/pylesosy-pylevodososy-i-zapasnye-chasti/turbina-odnostadijnaya-1200w-01021-momo/</t>
  </si>
  <si>
    <t>40006 CHG</t>
  </si>
  <si>
    <t>Турбина одностадийная (1200W) 40006 CHG</t>
  </si>
  <si>
    <t>https://him-auto.ru/pylesosy-pylevodososy-i-zapasnye-chasti/turbina-odnostadijnaya-1200w-40006-chg/</t>
  </si>
  <si>
    <t>JBJ-302</t>
  </si>
  <si>
    <t>Турбина одностадийная (1200W) JBJ-302</t>
  </si>
  <si>
    <t>https://him-auto.ru/pylesosy-pylevodososy-i-zapasnye-chasti/turbina-odnostadijnaya-1200w-jbj-302/</t>
  </si>
  <si>
    <t>MOMO40006/20047</t>
  </si>
  <si>
    <t>Турбина одностадийная (1200W) MOMO40006</t>
  </si>
  <si>
    <t>https://him-auto.ru/pylesosy-pylevodososy-i-zapasnye-chasti/turbina-odnostadijnaya-1200w-momo40006/</t>
  </si>
  <si>
    <t>11ME29I</t>
  </si>
  <si>
    <t>Угольная щетка</t>
  </si>
  <si>
    <t>https://him-auto.ru/pylesosy-pylevodososy-i-zapasnye-chasti/ugolnaya-shchetka/</t>
  </si>
  <si>
    <t>38371 MPVR (03969)</t>
  </si>
  <si>
    <t>Уплотнитель крышки турбины</t>
  </si>
  <si>
    <t>https://him-auto.ru/pylesosy-pylevodososy-i-zapasnye-chasti/uplotnitel-kryshki-turbiny/</t>
  </si>
  <si>
    <t>28683 GUGO (03901)</t>
  </si>
  <si>
    <t>https://him-auto.ru/pylesosy-pylevodososy-i-zapasnye-chasti/uplotnitel-kryshki-turbiny/?sku=155185</t>
  </si>
  <si>
    <t>86518 MEVR S (06082)</t>
  </si>
  <si>
    <t>Фиксатор TORNADO 200, 200 IDRO</t>
  </si>
  <si>
    <t>https://him-auto.ru/pylesosy-pylevodososy-i-zapasnye-chasti/fiksator-tornado-200-200-idro/</t>
  </si>
  <si>
    <t>02536 KTRI (5162010101)</t>
  </si>
  <si>
    <t>Фильт синтепоновый YP1400/20</t>
  </si>
  <si>
    <t>https://him-auto.ru/pylesosy-pylevodososy-i-zapasnye-chasti/filt-sinteponovyj-yp140020/</t>
  </si>
  <si>
    <t>02537 KTRI (8162180801)</t>
  </si>
  <si>
    <t>Фильт синтепоновый YP1400/6</t>
  </si>
  <si>
    <t>https://him-auto.ru/pylesosy-pylevodososy-i-zapasnye-chasti/filt-sinteponovyj-yp14006/</t>
  </si>
  <si>
    <t>00755 FTDP</t>
  </si>
  <si>
    <t>Фильт синтепоновый полиэстаровый LP 1/12 ECO</t>
  </si>
  <si>
    <t>https://him-auto.ru/pylesosy-pylevodososy-i-zapasnye-chasti/filt-sinteponovyj-poliehstarovyj-lp-112-eco/</t>
  </si>
  <si>
    <t>00756 FTDP</t>
  </si>
  <si>
    <t>Фильт синтепоновый тканевый LP 1/12 ECO</t>
  </si>
  <si>
    <t>https://him-auto.ru/pylesosy-pylevodososy-i-zapasnye-chasti/filt-sinteponovyj-tkanevyj-lp-112-eco/</t>
  </si>
  <si>
    <t>02562 PMVR S (06401)</t>
  </si>
  <si>
    <t>Фильтр "циклон" для 504 JUSTO</t>
  </si>
  <si>
    <t>https://him-auto.ru/pylesosy-pylevodososy-i-zapasnye-chasti/filtr-ciklon-dlya-504-justo/</t>
  </si>
  <si>
    <t>10001-08305 (1002033700)</t>
  </si>
  <si>
    <t>Фильтр HEPA</t>
  </si>
  <si>
    <t>https://him-auto.ru/pylesosy-pylevodososy-i-zapasnye-chasti/filtr-hepa/</t>
  </si>
  <si>
    <t>1002010300</t>
  </si>
  <si>
    <t>https://him-auto.ru/pylesosy-pylevodososy-i-zapasnye-chasti/filtr-hepa/?sku=160388</t>
  </si>
  <si>
    <t>1002026300</t>
  </si>
  <si>
    <t>Фильтр HEPA "CVC150XH"</t>
  </si>
  <si>
    <t>https://him-auto.ru/pylesosy-pylevodososy-i-zapasnye-chasti/filtr-hepa-cvc150xh/</t>
  </si>
  <si>
    <t>1002009000</t>
  </si>
  <si>
    <t>Фильтр HEPA CVP130PEM</t>
  </si>
  <si>
    <t>https://him-auto.ru/pylesosy-pylevodososy-i-zapasnye-chasti/filtr-hepa-cvp130pem/</t>
  </si>
  <si>
    <t>1002027700</t>
  </si>
  <si>
    <t>Фильтр HEPA гофрированный моющийся для пыли класса М</t>
  </si>
  <si>
    <t>https://him-auto.ru/pylesosy-pylevodososy-i-zapasnye-chasti/filtr-hepa-gofrirovannyj-moyushchijsya-dlya-pyli-klassa-m/</t>
  </si>
  <si>
    <t>00050 FTAC S (02688)</t>
  </si>
  <si>
    <t>Фильтр всасывающий 200, 200 IDRO</t>
  </si>
  <si>
    <t>https://him-auto.ru/pylesosy-pylevodososy-i-zapasnye-chasti/filtr-vsasyvayushchij-200-200-idro/</t>
  </si>
  <si>
    <t>1002014400</t>
  </si>
  <si>
    <t>Фильтр гофрированный для сухой уборки; AS 50</t>
  </si>
  <si>
    <t>https://him-auto.ru/pylesosy-pylevodososy-i-zapasnye-chasti/filtr-gofrirovannyj-dlya-suhoj-uborki-as-50/</t>
  </si>
  <si>
    <t>28844 FTDP S (02995)</t>
  </si>
  <si>
    <t>Фильтр гребенчатый HEPA 400-600 серия</t>
  </si>
  <si>
    <t>https://him-auto.ru/pylesosy-pylevodososy-i-zapasnye-chasti/filtr-grebenchatyj-hepa-400-600-seriya/</t>
  </si>
  <si>
    <t>28843 FTDP</t>
  </si>
  <si>
    <t>Фильтр гребенчатый HEPA для GS 3/78 (02881)</t>
  </si>
  <si>
    <t>https://him-auto.ru/pylesosy-pylevodososy-i-zapasnye-chasti/filtr-grebenchatyj-hepa-dlya-gs-378-02881/</t>
  </si>
  <si>
    <t>28620 FTDP (02852)</t>
  </si>
  <si>
    <t>Фильтр гребенчатый бумажный 400-600 серия</t>
  </si>
  <si>
    <t>https://him-auto.ru/pylesosy-pylevodososy-i-zapasnye-chasti/filtr-grebenchatyj-bumazhnyj-400-600-seriya/</t>
  </si>
  <si>
    <t>40017 FTDP (07936)</t>
  </si>
  <si>
    <t>Фильтр гребенчатый бумажный для YVO</t>
  </si>
  <si>
    <t>https://him-auto.ru/pylesosy-pylevodososy-i-zapasnye-chasti/filtr-grebenchatyj-bumazhnyj-dlya-yvo/</t>
  </si>
  <si>
    <t>44002 FTDP (06260)</t>
  </si>
  <si>
    <t>Фильтр гребенчатый для 504 JUSTO</t>
  </si>
  <si>
    <t>https://him-auto.ru/pylesosy-pylevodososy-i-zapasnye-chasti/filtr-grebenchatyj-dlya-504-justo/</t>
  </si>
  <si>
    <t>00570 FTDP (030279 H)</t>
  </si>
  <si>
    <t>Фильтр гребенчатый для 600 MARK NX 3FLOW желтый</t>
  </si>
  <si>
    <t>https://him-auto.ru/pylesosy-pylevodososy-i-zapasnye-chasti/filtr-grebenchatyj-dlya-600-mark-nx-3flow-zheltyj/</t>
  </si>
  <si>
    <t>00626 FTDP (350000066)</t>
  </si>
  <si>
    <t>Фильтр гребенчатый для FOX</t>
  </si>
  <si>
    <t>https://him-auto.ru/pylesosy-pylevodososy-i-zapasnye-chasti/filtr-grebenchatyj-dlya-fox/</t>
  </si>
  <si>
    <t>00764 FTDP</t>
  </si>
  <si>
    <t>Фильтр гребенчатый для TORNADO YS 1-20 W&amp;D TC</t>
  </si>
  <si>
    <t>https://him-auto.ru/pylesosy-pylevodososy-i-zapasnye-chasti/filtr-grebenchatyj-dlya-tornado-ys-1-20-wd-tc/</t>
  </si>
  <si>
    <t>00409 FTDP (030279/021622)</t>
  </si>
  <si>
    <t>Фильтр гребенчатый НЕРА для 600 MARK NX 3FLOW</t>
  </si>
  <si>
    <t>https://him-auto.ru/pylesosy-pylevodososy-i-zapasnye-chasti/filtr-grebenchatyj-nera-dlya-600-mark-nx-3flow/</t>
  </si>
  <si>
    <t>44260 FTDP (06061)</t>
  </si>
  <si>
    <t>Фильтр гребенчатый полиэстровый 400-600 серия</t>
  </si>
  <si>
    <t>https://him-auto.ru/pylesosy-pylevodososy-i-zapasnye-chasti/filtr-grebenchatyj-poliehstrovyj-400-600-seriya/</t>
  </si>
  <si>
    <t>00314 FTDP S (020148)</t>
  </si>
  <si>
    <t>Фильтр гребенчатый полиэстровый для 503 2ST</t>
  </si>
  <si>
    <t>https://him-auto.ru/pylesosy-pylevodososy-i-zapasnye-chasti/filtr-grebenchatyj-poliehstrovyj-dlya-503-2st/</t>
  </si>
  <si>
    <t>31725 FTDT (2711)</t>
  </si>
  <si>
    <t>Фильтр для 28251 SPPV</t>
  </si>
  <si>
    <t>https://him-auto.ru/pylesosy-pylevodososy-i-zapasnye-chasti/filtr-dlya-28251-sppv/</t>
  </si>
  <si>
    <t>1002028200</t>
  </si>
  <si>
    <t>Фильтр для пылесоса для мелкой пыли "CM30S"</t>
  </si>
  <si>
    <t>https://him-auto.ru/pylesosy-pylevodososy-i-zapasnye-chasti/filtr-dlya-pylesosa-dlya-melkoj-pyli-cm30s/</t>
  </si>
  <si>
    <t>1002028000</t>
  </si>
  <si>
    <t>Фильтр для пылесоса из микрофибры 5 шт.</t>
  </si>
  <si>
    <t>https://him-auto.ru/pylesosy-pylevodososy-i-zapasnye-chasti/filtr-dlya-pylesosa-iz-mikrofibry-5-sht/</t>
  </si>
  <si>
    <t>1002026200</t>
  </si>
  <si>
    <t>Фильтр для пылесоса моющиеся</t>
  </si>
  <si>
    <t>https://him-auto.ru/pylesosy-pylevodososy-i-zapasnye-chasti/filtr-dlya-pylesosa-moyushchiesya/</t>
  </si>
  <si>
    <t>1002008700</t>
  </si>
  <si>
    <t>https://him-auto.ru/pylesosy-pylevodososy-i-zapasnye-chasti/filtr-dlya-pylesosa-moyushchiesya/?sku=160605</t>
  </si>
  <si>
    <t>10001-08251</t>
  </si>
  <si>
    <t>https://him-auto.ru/pylesosy-pylevodososy-i-zapasnye-chasti/filtr-dlya-pylesosa-moyushchiesya/?sku=160615</t>
  </si>
  <si>
    <t>1002026700</t>
  </si>
  <si>
    <t>Фильтр для пылесоса моющиеся "CVC150XH"</t>
  </si>
  <si>
    <t>https://him-auto.ru/pylesosy-pylevodososy-i-zapasnye-chasti/filtr-dlya-pylesosa-moyushchiesya-cvc150xh/</t>
  </si>
  <si>
    <t>ACCA165</t>
  </si>
  <si>
    <t>Фильтр защитный для пылесоса ELSEA</t>
  </si>
  <si>
    <t>https://him-auto.ru/pylesosy-pylevodososy-i-zapasnye-chasti/filtr-zashchitnyj-dlya-pylesosa-elsea/</t>
  </si>
  <si>
    <t>1002027000</t>
  </si>
  <si>
    <t>Фильтр картридж для "CVC150XH"</t>
  </si>
  <si>
    <t>https://him-auto.ru/pylesosy-pylevodososy-i-zapasnye-chasti/filtr-kartridzh-dlya-cvc150xh/</t>
  </si>
  <si>
    <t>1002027300</t>
  </si>
  <si>
    <t>Фильтр картридж для CM CV CVP</t>
  </si>
  <si>
    <t>https://him-auto.ru/pylesosy-pylevodososy-i-zapasnye-chasti/filtr-kartridzh-dlya-cm-cv-cvp/</t>
  </si>
  <si>
    <t>KTRI02943</t>
  </si>
  <si>
    <t>Фильтр конический в сборе GREEN 215, 515 03241 SAN</t>
  </si>
  <si>
    <t>https://him-auto.ru/pylesosy-pylevodososy-i-zapasnye-chasti/filtr-konicheskij-v-sbore-green-215-515-03241-san/</t>
  </si>
  <si>
    <t>FTDP28733</t>
  </si>
  <si>
    <t>Фильтр конический серии 400, 423-433 арт.03240 SAN</t>
  </si>
  <si>
    <t>https://him-auto.ru/pylesosy-pylevodososy-i-zapasnye-chasti/filtr-konicheskij-serii-400-423-433-art03240-san/</t>
  </si>
  <si>
    <t>KTRI02949</t>
  </si>
  <si>
    <t>Фильтр конический серии 600, 623-633 арт. 03242 SAN</t>
  </si>
  <si>
    <t>https://him-auto.ru/pylesosy-pylevodososy-i-zapasnye-chasti/filtr-konicheskij-serii-600-623-633-art-03242-san/</t>
  </si>
  <si>
    <t>1002010400</t>
  </si>
  <si>
    <t>Фильтр корзина для CV, CVP</t>
  </si>
  <si>
    <t>https://him-auto.ru/pylesosy-pylevodososy-i-zapasnye-chasti/filtr-korzina-dlya-cv-cvp/</t>
  </si>
  <si>
    <t>1002027100</t>
  </si>
  <si>
    <t>Фильтр корзина с кольцом</t>
  </si>
  <si>
    <t>https://him-auto.ru/pylesosy-pylevodososy-i-zapasnye-chasti/filtr-korzina-s-kolcom/</t>
  </si>
  <si>
    <t>1002009400</t>
  </si>
  <si>
    <t>Фильтр корзина тканый с кольцом "CVP265X"</t>
  </si>
  <si>
    <t>https://him-auto.ru/pylesosy-pylevodososy-i-zapasnye-chasti/filtr-korzina-tkanyj-s-kolcom-cvp265x/</t>
  </si>
  <si>
    <t>1002010000</t>
  </si>
  <si>
    <t>Фильтр корзина тканый с кольцом "CVP278-378_CVC278"</t>
  </si>
  <si>
    <t>https://him-auto.ru/pylesosy-pylevodososy-i-zapasnye-chasti/filtr-korzina-tkanyj-s-kolcom-cvp278-378_cvc278/</t>
  </si>
  <si>
    <t>10001-08283 (1002009700)</t>
  </si>
  <si>
    <t>Фильтр корзина тканый с кольцом "CVP278P_378P"</t>
  </si>
  <si>
    <t>https://him-auto.ru/pylesosy-pylevodososy-i-zapasnye-chasti/filtr-korzina-tkanyj-s-kolcom-cvp278p_378p/</t>
  </si>
  <si>
    <t>1002010100</t>
  </si>
  <si>
    <t>Фильтр корзина(полиэстр) X "CVP265X"</t>
  </si>
  <si>
    <t>https://him-auto.ru/pylesosy-pylevodososy-i-zapasnye-chasti/filtr-korzinapoliehstr-x-cvp265x/</t>
  </si>
  <si>
    <t>Фильтр мешок 80л для CB</t>
  </si>
  <si>
    <t>https://him-auto.ru/pylesosy-pylevodososy-i-zapasnye-chasti/filtr-meshok-80l-dlya-cb/</t>
  </si>
  <si>
    <t>1002027400</t>
  </si>
  <si>
    <t>Фильтр мешок предвaрительной очистки из нейлона</t>
  </si>
  <si>
    <t>https://him-auto.ru/pylesosy-pylevodososy-i-zapasnye-chasti/filtr-meshok-predvaritelnoj-ochistki-iz-nejlona/</t>
  </si>
  <si>
    <t>1002026900</t>
  </si>
  <si>
    <t>Фильтр нейлоновый "CVC150XH"</t>
  </si>
  <si>
    <t>https://him-auto.ru/pylesosy-pylevodososy-i-zapasnye-chasti/filtr-nejlonovyj-cvc150xh/</t>
  </si>
  <si>
    <t>72165 RCDS S (03036)</t>
  </si>
  <si>
    <t>Фильтр очистки 200, 200 IDRO</t>
  </si>
  <si>
    <t>https://him-auto.ru/pylesosy-pylevodososy-i-zapasnye-chasti/filtr-ochistki-200-200-idro/</t>
  </si>
  <si>
    <t>00307 FTDP</t>
  </si>
  <si>
    <t>Фильтр пакет бумажный для 215 Mini XP Plast (07940)</t>
  </si>
  <si>
    <t>https://him-auto.ru/pylesosy-pylevodososy-i-zapasnye-chasti/filtr-paket-bumazhnyj-dlya-215-mini-xp-plast-07940/</t>
  </si>
  <si>
    <t>00225 FTDP S (020862)</t>
  </si>
  <si>
    <t>Фильтр пакет бумажный для YVO MAXI</t>
  </si>
  <si>
    <t>https://him-auto.ru/pylesosy-pylevodososy-i-zapasnye-chasti/filtr-paket-bumazhnyj-dlya-yvo-maxi/</t>
  </si>
  <si>
    <t>FA034P</t>
  </si>
  <si>
    <t>Фильтр полиэстеровый FA034</t>
  </si>
  <si>
    <t>https://him-auto.ru/pylesosy-pylevodososy-i-zapasnye-chasti/filtr-poliehsterovyj-fa034/</t>
  </si>
  <si>
    <t>FA044P</t>
  </si>
  <si>
    <t>Фильтр полиэстеровый FA044</t>
  </si>
  <si>
    <t>https://him-auto.ru/pylesosy-pylevodososy-i-zapasnye-chasti/filtr-poliehsterovyj-fa044/</t>
  </si>
  <si>
    <t>00547 FTDP (02862 SAN)</t>
  </si>
  <si>
    <t>Фильтр полиэстровый (мешок) от 02142 KTRI S (03291)</t>
  </si>
  <si>
    <t>https://him-auto.ru/pylesosy-pylevodososy-i-zapasnye-chasti/filtr-poliehstrovyj-meshok-ot-02142-ktri-s-03291/</t>
  </si>
  <si>
    <t>1002008500</t>
  </si>
  <si>
    <t>Фильтр поролон "CVC"</t>
  </si>
  <si>
    <t>https://him-auto.ru/pylesosy-pylevodososy-i-zapasnye-chasti/filtr-porolon-cvc/</t>
  </si>
  <si>
    <t>1002008100</t>
  </si>
  <si>
    <t>Фильтр поролон CVP</t>
  </si>
  <si>
    <t>https://him-auto.ru/pylesosy-pylevodososy-i-zapasnye-chasti/filtr-porolon-cvp/</t>
  </si>
  <si>
    <t>04471 KTRI S (R6288)</t>
  </si>
  <si>
    <t>Фильтр с пеногастителем всборе TORNADO 200 IDRO</t>
  </si>
  <si>
    <t>https://him-auto.ru/pylesosy-pylevodososy-i-zapasnye-chasti/filtr-s-penogastitelem-vsbore-tornado-200-idro/</t>
  </si>
  <si>
    <t>00523 FTDP (02845 SAN)</t>
  </si>
  <si>
    <t>Фильтр синтепоновый (мешок) от 28733 FTDP S (03240 SAN) и 02949 KTRI (03242 SAN)</t>
  </si>
  <si>
    <t>https://him-auto.ru/pylesosy-pylevodososy-i-zapasnye-chasti/filtr-sinteponovyj-meshok-ot-28733-ftdp-s-03240-san-i-02949-ktri-03242-san/</t>
  </si>
  <si>
    <t>02133 KTRI (03292 SAN)</t>
  </si>
  <si>
    <t>Фильтр синтепоновый PANDA XP 215,515</t>
  </si>
  <si>
    <t>https://him-auto.ru/pylesosy-pylevodososy-i-zapasnye-chasti/filtr-sinteponovyj-panda-xp-215515/</t>
  </si>
  <si>
    <t>87772 FTDP S (06134)</t>
  </si>
  <si>
    <t>Фильтр синтепоновый Planet 50 (мешок)</t>
  </si>
  <si>
    <t>https://him-auto.ru/pylesosy-pylevodososy-i-zapasnye-chasti/filtr-sinteponovyj-planet-50-meshok/</t>
  </si>
  <si>
    <t>02142 KTRI S (03291)</t>
  </si>
  <si>
    <t>Фильтр синтепоновый TORNADO 200</t>
  </si>
  <si>
    <t>https://him-auto.ru/pylesosy-pylevodososy-i-zapasnye-chasti/filtr-sinteponovyj-tornado-200/</t>
  </si>
  <si>
    <t>00079 FTDP S (03239 SAN)</t>
  </si>
  <si>
    <t>Фильтр синтепоновый TORNADO 300</t>
  </si>
  <si>
    <t>https://him-auto.ru/pylesosy-pylevodososy-i-zapasnye-chasti/filtr-sinteponovyj-tornado-300/</t>
  </si>
  <si>
    <t>88585 FTDP (07022)</t>
  </si>
  <si>
    <t>Фильтр синтепоновый TORNADO V 640 M</t>
  </si>
  <si>
    <t>https://him-auto.ru/pylesosy-pylevodososy-i-zapasnye-chasti/filtr-sinteponovyj-tornado-v-640-m/</t>
  </si>
  <si>
    <t>88584 FTDP (07021)</t>
  </si>
  <si>
    <t>Фильтр синтепоновый TORNADO V 640 M (мешок)</t>
  </si>
  <si>
    <t>https://him-auto.ru/pylesosy-pylevodososy-i-zapasnye-chasti/filtr-sinteponovyj-tornado-v-640-m-meshok/</t>
  </si>
  <si>
    <t>02943 KTRI (03241 SAN)</t>
  </si>
  <si>
    <t>Фильтр синтепоновый TORNADO, PANDA 215, 503</t>
  </si>
  <si>
    <t>https://him-auto.ru/pylesosy-pylevodososy-i-zapasnye-chasti/filtr-sinteponovyj-tornado-panda-215-503/</t>
  </si>
  <si>
    <t>28733 FTDP S (03240 SAN)</t>
  </si>
  <si>
    <t>Фильтр синтепоновый TORNADO, PANDA 423, 429, 433, 629, 700</t>
  </si>
  <si>
    <t>https://him-auto.ru/pylesosy-pylevodososy-i-zapasnye-chasti/filtr-sinteponovyj-tornado-panda-423-429-433-629-700/</t>
  </si>
  <si>
    <t>02949 KTRI (03242 SAN)</t>
  </si>
  <si>
    <t>Фильтр синтепоновый TORNADO, PANDA 623, 633, 640</t>
  </si>
  <si>
    <t>https://him-auto.ru/pylesosy-pylevodososy-i-zapasnye-chasti/filtr-sinteponovyj-tornado-panda-623-633-640/</t>
  </si>
  <si>
    <t>1002037400</t>
  </si>
  <si>
    <t>Фильтр со складками из полиэфира для выс. темп. 180°c 2м², класс M</t>
  </si>
  <si>
    <t>https://him-auto.ru/pylesosy-pylevodososy-i-zapasnye-chasti/filtr-so-skladkami-iz-poliehfira-dlya-vys-temp-180°c-2m²-klass-m/</t>
  </si>
  <si>
    <t>BF 580-19 (24120500005)</t>
  </si>
  <si>
    <t>Фильтр тканевый для BF 580-3 без каркаса</t>
  </si>
  <si>
    <t>https://him-auto.ru/pylesosy-pylevodososy-i-zapasnye-chasti/filtr-tkanevyj-dlya-bf-580-3-bez-karkasa/</t>
  </si>
  <si>
    <t>1002033600</t>
  </si>
  <si>
    <t>Фильтр тканевый для пылесоса</t>
  </si>
  <si>
    <t>https://him-auto.ru/pylesosy-pylevodososy-i-zapasnye-chasti/filtr-tkanevyj-dlya-pylesosa/</t>
  </si>
  <si>
    <t>1002009900</t>
  </si>
  <si>
    <t>Фильтр тканый с кольцом "CVC150XH"</t>
  </si>
  <si>
    <t>https://him-auto.ru/pylesosy-pylevodososy-i-zapasnye-chasti/filtr-tkanyj-s-kolcom-cvc150xh/</t>
  </si>
  <si>
    <t>6260</t>
  </si>
  <si>
    <t>Фильтр тонкой очистки полиэстеровый Justo</t>
  </si>
  <si>
    <t>https://him-auto.ru/pylesosy-pylevodososy-i-zapasnye-chasti/filtr-tonkoj-ochistki-poliehsterovyj-justo/</t>
  </si>
  <si>
    <t>FTDP44260</t>
  </si>
  <si>
    <t>Фильтр тонкой очистки полиэстеровый для 423-633 06061</t>
  </si>
  <si>
    <t>https://him-auto.ru/pylesosy-pylevodososy-i-zapasnye-chasti/filtr-tonkoj-ochistki-poliehsterovyj-dlya-423-633-06061/</t>
  </si>
  <si>
    <t>38064 FTDP (03937)</t>
  </si>
  <si>
    <t>Фильтр турбины</t>
  </si>
  <si>
    <t>https://him-auto.ru/pylesosy-pylevodososy-i-zapasnye-chasti/filtr-turbiny/</t>
  </si>
  <si>
    <t>86275 FTDP S (06142)</t>
  </si>
  <si>
    <t>Фильтр турбины 200 IDRO</t>
  </si>
  <si>
    <t>https://him-auto.ru/pylesosy-pylevodososy-i-zapasnye-chasti/filtr-turbiny-200-idro/</t>
  </si>
  <si>
    <t>1002027600</t>
  </si>
  <si>
    <t>Фильтр угольный CVP130PEM</t>
  </si>
  <si>
    <t>https://him-auto.ru/pylesosy-pylevodososy-i-zapasnye-chasti/filtr-ugolnyj-cvp130pem/</t>
  </si>
  <si>
    <t>20001</t>
  </si>
  <si>
    <t>Фильтр Х/Б матерчатый для Leo</t>
  </si>
  <si>
    <t>https://him-auto.ru/pylesosy-pylevodososy-i-zapasnye-chasti/filtr-hb-materchatyj-dlya-leo/</t>
  </si>
  <si>
    <t>2741</t>
  </si>
  <si>
    <t>Фильтр- мешок бумажный для 203-215</t>
  </si>
  <si>
    <t>https://him-auto.ru/pylesosy-pylevodososy-i-zapasnye-chasti/filtr-meshok-bumazhnyj-dlya-203-215/</t>
  </si>
  <si>
    <t>FILTER 30</t>
  </si>
  <si>
    <t>Фильтр-корзина конический полиэстеровый для бака 30 л. для BF575 .без каркаса</t>
  </si>
  <si>
    <t>https://him-auto.ru/pylesosy-pylevodososy-i-zapasnye-chasti/filtr-korzina-konicheskij-poliehsterovyj-dlya-baka-30-l-dlya-bf575-bez-karkasa/</t>
  </si>
  <si>
    <t>FILTER 70</t>
  </si>
  <si>
    <t>Фильтр-корзина конический полиэстеровый для бака 60-80 л. без каркаса</t>
  </si>
  <si>
    <t>https://him-auto.ru/pylesosy-pylevodososy-i-zapasnye-chasti/filtr-korzina-konicheskij-poliehsterovyj-dlya-baka-60-80-l-bez-karkasa/</t>
  </si>
  <si>
    <t>2875</t>
  </si>
  <si>
    <t>Фильтр-мешок бумажный 02875 для 423, 429, 433, 623, 629, 633, 640</t>
  </si>
  <si>
    <t>https://him-auto.ru/pylesosy-pylevodososy-i-zapasnye-chasti/filtr-meshok-bumazhnyj-02875-dlya-423-429-433-623-629-633-640/</t>
  </si>
  <si>
    <t>02741/MB</t>
  </si>
  <si>
    <t>Фильтр-мешок микроволокно GREEN, PANDA, MIRAGE, NEVADA, TOFNADO модели 203,215 (СР-225)</t>
  </si>
  <si>
    <t>https://him-auto.ru/pylesosy-pylevodososy-i-zapasnye-chasti/filtr-meshok-mikrovolokno-green-panda-mirage-nevada-tofnado-modeli-203215-sr-225/</t>
  </si>
  <si>
    <t>30851 UGLN (02759)</t>
  </si>
  <si>
    <t>Форсунка пластиковая для насадки 28251 SPPV</t>
  </si>
  <si>
    <t>https://him-auto.ru/pylesosy-pylevodososy-i-zapasnye-chasti/forsunka-plastikovaya-dlya-nasadki-28251-sppv/</t>
  </si>
  <si>
    <t>31294 UGLN (03071)</t>
  </si>
  <si>
    <t>Форсунка пластиковая для насадки 86380 MPVR</t>
  </si>
  <si>
    <t>https://him-auto.ru/pylesosy-pylevodososy-i-zapasnye-chasti/forsunka-plastikovaya-dlya-nasadki-86380-mpvr/</t>
  </si>
  <si>
    <t>28748 MPVR03379 KTRI (00468)</t>
  </si>
  <si>
    <t>Центровик турбины</t>
  </si>
  <si>
    <t>https://him-auto.ru/pylesosy-pylevodososy-i-zapasnye-chasti/centrovik-turbiny/</t>
  </si>
  <si>
    <t>06607 MPVR S (02687)</t>
  </si>
  <si>
    <t>Часть фильтра TORNADO 200, 200 IDRO</t>
  </si>
  <si>
    <t>https://him-auto.ru/pylesosy-pylevodososy-i-zapasnye-chasti/chast-filtra-tornado-200-200-idro/</t>
  </si>
  <si>
    <t>00391 VTRS S (01016)</t>
  </si>
  <si>
    <t>Шайба TORNADO 200 IDRO</t>
  </si>
  <si>
    <t>https://him-auto.ru/pylesosy-pylevodososy-i-zapasnye-chasti/shajba-tornado-200-idro/</t>
  </si>
  <si>
    <t>71964 VTRS S (01012)</t>
  </si>
  <si>
    <t>Шайба для тележки пылесоса</t>
  </si>
  <si>
    <t>https://him-auto.ru/pylesosy-pylevodososy-i-zapasnye-chasti/shajba-dlya-telezhki-pylesosa/</t>
  </si>
  <si>
    <t>71967 VTVR S (01027)</t>
  </si>
  <si>
    <t>Шайба для юбки пылесоса</t>
  </si>
  <si>
    <t>https://him-auto.ru/pylesosy-pylevodososy-i-zapasnye-chasti/shajba-dlya-yubki-pylesosa/</t>
  </si>
  <si>
    <t>3208062400</t>
  </si>
  <si>
    <t>Шланг 1,5 м +трубка для пылесосов CM20S CM30S Ø 35</t>
  </si>
  <si>
    <t>https://him-auto.ru/pylesosy-pylevodososy-i-zapasnye-chasti/shlang-15-m-trubka-dlya-pylesosov-cm20s-cm30s-ø-35/</t>
  </si>
  <si>
    <t>28237 TBFX (00008)</t>
  </si>
  <si>
    <t>Шланг 2,5м - длина, 38мм - диаметр</t>
  </si>
  <si>
    <t>https://him-auto.ru/pylesosy-pylevodososy-i-zapasnye-chasti/shlang-25m-dlina-38mm-diametr/</t>
  </si>
  <si>
    <t>72031 TBFX (01659, 01195 TBFX)</t>
  </si>
  <si>
    <t>Шланг 2м - длина, 36мм - диаметр</t>
  </si>
  <si>
    <t>https://him-auto.ru/pylesosy-pylevodososy-i-zapasnye-chasti/shlang-2m-dlina-36mm-diametr/</t>
  </si>
  <si>
    <t>00401 TBFX (01989)</t>
  </si>
  <si>
    <t>Шланг 3м - длина, 36мм - диаметр</t>
  </si>
  <si>
    <t>https://him-auto.ru/pylesosy-pylevodososy-i-zapasnye-chasti/shlang-3m-dlina-36mm-diametr/</t>
  </si>
  <si>
    <t>37775 TBFX S (02780)</t>
  </si>
  <si>
    <t>Шланг 4,5м - длина, 38мм - диаметр</t>
  </si>
  <si>
    <t>https://him-auto.ru/pylesosy-pylevodososy-i-zapasnye-chasti/shlang-45m-dlina-38mm-diametr/</t>
  </si>
  <si>
    <t>TBFX00567</t>
  </si>
  <si>
    <t>Шланг D38-40 бухта 20 метров 00082 NE/20COMP, черный(кратно 2,5м)</t>
  </si>
  <si>
    <t>https://him-auto.ru/pylesosy-pylevodososy-i-zapasnye-chasti/shlang-d38-40-buhta-20-metrov-00082-ne20comp-chernyjkratno-25m/</t>
  </si>
  <si>
    <t>3208140300</t>
  </si>
  <si>
    <t>Шланг flex с покрытием 1 м Ø 35 для CA18S</t>
  </si>
  <si>
    <t>https://him-auto.ru/pylesosy-pylevodososy-i-zapasnye-chasti/shlang-flex-s-pokrytiem-1-m-ø-35-dlya-ca18s/</t>
  </si>
  <si>
    <t>3208128400</t>
  </si>
  <si>
    <t>https://him-auto.ru/pylesosy-pylevodososy-i-zapasnye-chasti/shlang-flex-s-pokrytiem-1-m-ø-35-dlya-ca18s/?sku=160587</t>
  </si>
  <si>
    <t>3208151100</t>
  </si>
  <si>
    <t>Шланг антистатический Ø50 без коннекторов ( в метрах)</t>
  </si>
  <si>
    <t>https://him-auto.ru/pylesosy-pylevodososy-i-zapasnye-chasti/shlang-antistaticheskij-ø50-bez-konnektorov-v-metrah/</t>
  </si>
  <si>
    <t>1685</t>
  </si>
  <si>
    <t>Шланг в сборе для пылесоса 2м. D36 для 203-215, Justo, Idro</t>
  </si>
  <si>
    <t>https://him-auto.ru/pylesosy-pylevodososy-i-zapasnye-chasti/shlang-v-sbore-dlya-pylesosa-2m-d36-dlya-203-215-justo-idro/</t>
  </si>
  <si>
    <t>26404520</t>
  </si>
  <si>
    <t>Шланг вакуумный d.38, бухта 20 м, серый</t>
  </si>
  <si>
    <t>https://him-auto.ru/pylesosy-pylevodososy-i-zapasnye-chasti/shlang-vakuumnyj-d38-buhta-20-m-seryj/</t>
  </si>
  <si>
    <t>26404720</t>
  </si>
  <si>
    <t>Шланг вакуумный d.38, бухта 20 м, синий</t>
  </si>
  <si>
    <t>https://him-auto.ru/pylesosy-pylevodososy-i-zapasnye-chasti/shlang-vakuumnyj-d38-buhta-20-m-sinij/</t>
  </si>
  <si>
    <t>ACTF38/20</t>
  </si>
  <si>
    <t>Шланг вакуумный для пылесоса, черный (бухта 20 м), d=38mm</t>
  </si>
  <si>
    <t>https://him-auto.ru/pylesosy-pylevodososy-i-zapasnye-chasti/shlang-vakuumnyj-dlya-pylesosa-chernyj-buhta-20-m-d38mm/</t>
  </si>
  <si>
    <t>26404820</t>
  </si>
  <si>
    <t>Шланг вакуумный для пылесоса, черный (бухта 20 м), O 38 мм</t>
  </si>
  <si>
    <t>https://him-auto.ru/pylesosy-pylevodososy-i-zapasnye-chasti/shlang-vakuumnyj-dlya-pylesosa-chernyj-buhta-20-m-o-38-mm/</t>
  </si>
  <si>
    <t>ACTF036/30</t>
  </si>
  <si>
    <t>Шланг вакуумный для пылесоса, черный (бухта 30 м), d=36mm</t>
  </si>
  <si>
    <t>https://him-auto.ru/pylesosy-pylevodososy-i-zapasnye-chasti/shlang-vakuumnyj-dlya-pylesosa-chernyj-buhta-30-m-d36mm/</t>
  </si>
  <si>
    <t>ACTF38/30</t>
  </si>
  <si>
    <t>Шланг вакуумный для пылесоса, черный (бухта 30 м), d=38mm</t>
  </si>
  <si>
    <t>https://him-auto.ru/pylesosy-pylevodososy-i-zapasnye-chasti/shlang-vakuumnyj-dlya-pylesosa-chernyj-buhta-30-m-d38mm/</t>
  </si>
  <si>
    <t>ACTF038E</t>
  </si>
  <si>
    <t>Шланг вакуумный для экстрактора</t>
  </si>
  <si>
    <t>https://him-auto.ru/pylesosy-pylevodososy-i-zapasnye-chasti/shlang-vakuumnyj-dlya-ehkstraktora/</t>
  </si>
  <si>
    <t>A-056A-7</t>
  </si>
  <si>
    <t>Шланг всасывающий метражом; Д.36 (36)мм.(кратно 2,5м)</t>
  </si>
  <si>
    <t>https://him-auto.ru/pylesosy-pylevodososy-i-zapasnye-chasti/shlang-vsasyvayushchij-metrazhom-d36-36mmkratno-25m/</t>
  </si>
  <si>
    <t>HOSE (14029990028)</t>
  </si>
  <si>
    <t>Шланг всасывающий метражом; Д.40 (38)мм.( кратно 2,5м)</t>
  </si>
  <si>
    <t>https://him-auto.ru/pylesosy-pylevodososy-i-zapasnye-chasti/shlang-vsasyvayushchij-metrazhom-d40-38mm-kratno-25m/</t>
  </si>
  <si>
    <t>72134 TBFX (02779)</t>
  </si>
  <si>
    <t>Шланг для Planet 152, 2,5м - длина, 50мм - диаметр</t>
  </si>
  <si>
    <t>https://him-auto.ru/pylesosy-pylevodososy-i-zapasnye-chasti/shlang-dlya-planet-152-25m-dlina-50mm-diametr/</t>
  </si>
  <si>
    <t>88583 TBFX (02775)</t>
  </si>
  <si>
    <t>Шланг для V 640 M, 2,5м - длина, 38мм - диаметр</t>
  </si>
  <si>
    <t>https://him-auto.ru/pylesosy-pylevodososy-i-zapasnye-chasti/shlang-dlya-v-640-m-25m-dlina-38mm-diametr/</t>
  </si>
  <si>
    <t>00994 TBFX (81A0270101)</t>
  </si>
  <si>
    <t>Шланг для YP1400/6</t>
  </si>
  <si>
    <t>https://him-auto.ru/pylesosy-pylevodososy-i-zapasnye-chasti/shlang-dlya-yp14006/</t>
  </si>
  <si>
    <t>00510 TBBP S (07993 G-G52)</t>
  </si>
  <si>
    <t>Шланг для YVO 36мм</t>
  </si>
  <si>
    <t>https://him-auto.ru/pylesosy-pylevodososy-i-zapasnye-chasti/shlang-dlya-yvo-36mm/</t>
  </si>
  <si>
    <t>43368 TBBP S (05054Z)</t>
  </si>
  <si>
    <t>Шланг для подачи химии для Tornado 200 в сборе</t>
  </si>
  <si>
    <t>https://him-auto.ru/pylesosy-pylevodososy-i-zapasnye-chasti/shlang-dlya-podachi-himii-dlya-tornado-200-v-sbore/</t>
  </si>
  <si>
    <t>3208115800</t>
  </si>
  <si>
    <t>Шланг для пылесоса(ø 40 мм) бухта 30 метров(кратно 2,5м)</t>
  </si>
  <si>
    <t>https://him-auto.ru/pylesosy-pylevodososy-i-zapasnye-chasti/shlang-dlya-pylesosaø-40-mm-buhta-30-metrovkratno-25m/</t>
  </si>
  <si>
    <t>06075 KTRI</t>
  </si>
  <si>
    <t>Шланг для химчистки (в сборе, гибкий шланг, шланг для подачи химии, зажимы 4 шт.)</t>
  </si>
  <si>
    <t>https://him-auto.ru/pylesosy-pylevodososy-i-zapasnye-chasti/shlang-dlya-himchistki-v-sbore-gibkij-shlang-shlang-dlya-podachi-himii-zazhimy-4-sht/</t>
  </si>
  <si>
    <t>28253 TBFX (02548/OTT, 01154 TBFX)</t>
  </si>
  <si>
    <t>Шланг для химчистки 200, 2м - длина, 36мм - диаметр</t>
  </si>
  <si>
    <t>https://him-auto.ru/pylesosy-pylevodososy-i-zapasnye-chasti/shlang-dlya-himchistki-200-2m-dlina-36mm-diametr/</t>
  </si>
  <si>
    <t>72095 TBBP S (02551/OTT, 01112 TBFX S)</t>
  </si>
  <si>
    <t>Шланг для химчистки 700 2,5м - длина, 38мм - диаметр</t>
  </si>
  <si>
    <t>https://him-auto.ru/pylesosy-pylevodososy-i-zapasnye-chasti/shlang-dlya-himchistki-700-25m-dlina-38mm-diametr/</t>
  </si>
  <si>
    <t>3208062000</t>
  </si>
  <si>
    <t>Шланг из металла 1,5 м +трубка для пылесосов CM20S CM30S Ø 35</t>
  </si>
  <si>
    <t>https://him-auto.ru/pylesosy-pylevodososy-i-zapasnye-chasti/shlang-iz-metalla-15-m-trubka-dlya-pylesosov-cm20s-cm30s-ø-35/</t>
  </si>
  <si>
    <t>TBFX00628</t>
  </si>
  <si>
    <t>Шланг метражом (D36) пластик, бухта 20 м 00624G/20COMP</t>
  </si>
  <si>
    <t>https://him-auto.ru/pylesosy-pylevodososy-i-zapasnye-chasti/shlang-metrazhom-d36-plastik-buhta-20-m-00624g20comp/</t>
  </si>
  <si>
    <t>TBFX87826</t>
  </si>
  <si>
    <t>Шланг метражом D38 (40) пластик, серый 00082/20COMP(кратно 2,5м)</t>
  </si>
  <si>
    <t>https://him-auto.ru/pylesosy-pylevodososy-i-zapasnye-chasti/shlang-metrazhom-d38-40-plastik-seryj-0008220compkratno-25m/</t>
  </si>
  <si>
    <t>3208061800</t>
  </si>
  <si>
    <t>Шланг пластиковый 1 м + трубка для пылесосов CM20S CM30S Ø 35</t>
  </si>
  <si>
    <t>https://him-auto.ru/pylesosy-pylevodososy-i-zapasnye-chasti/shlang-plastikovyj-1-m-trubka-dlya-pylesosov-cm20s-cm30s-ø-35/</t>
  </si>
  <si>
    <t>3208139900</t>
  </si>
  <si>
    <t>Шланг с коннекторами 10 м Ø 40</t>
  </si>
  <si>
    <t>https://him-auto.ru/pylesosy-pylevodososy-i-zapasnye-chasti/shlang-s-konnektorami-10-m-ø-40/</t>
  </si>
  <si>
    <t>3208064000</t>
  </si>
  <si>
    <t>Шланг с коннекторами 2 м Ø 35</t>
  </si>
  <si>
    <t>https://him-auto.ru/pylesosy-pylevodososy-i-zapasnye-chasti/shlang-s-konnektorami-2-m-ø-35/</t>
  </si>
  <si>
    <t>00080-04021 (3208142400)</t>
  </si>
  <si>
    <t>Шланг с коннекторами 2 м с изогнутой ручкой (Ø 35 мм)</t>
  </si>
  <si>
    <t>https://him-auto.ru/pylesosy-pylevodososy-i-zapasnye-chasti/shlang-s-konnektorami-2-m-s-izognutoj-ruchkoj-ø-35-mm/</t>
  </si>
  <si>
    <t>3208138100</t>
  </si>
  <si>
    <t>https://him-auto.ru/pylesosy-pylevodososy-i-zapasnye-chasti/shlang-s-konnektorami-2-m-s-izognutoj-ruchkoj-ø-35-mm/?sku=160534</t>
  </si>
  <si>
    <t>3208065000</t>
  </si>
  <si>
    <t>Шланг с коннекторами 2,5 м Ø 35 CV20</t>
  </si>
  <si>
    <t>https://him-auto.ru/pylesosy-pylevodososy-i-zapasnye-chasti/shlang-s-konnektorami-25-m-ø-35-cv20/</t>
  </si>
  <si>
    <t>3208065800</t>
  </si>
  <si>
    <t>Шланг с коннекторами 2,5 м Ø 40</t>
  </si>
  <si>
    <t>https://him-auto.ru/pylesosy-pylevodososy-i-zapasnye-chasti/shlang-s-konnektorami-25-m-ø-40/</t>
  </si>
  <si>
    <t>3208065600</t>
  </si>
  <si>
    <t>https://him-auto.ru/pylesosy-pylevodososy-i-zapasnye-chasti/shlang-s-konnektorami-25-m-ø-40/?sku=160576</t>
  </si>
  <si>
    <t>00080-03988 (3208062600)</t>
  </si>
  <si>
    <t>Шланг с коннекторами 2,5 м с изогнутой ручкой (Ø 35 мм) "CVP120-130"</t>
  </si>
  <si>
    <t>https://him-auto.ru/pylesosy-pylevodososy-i-zapasnye-chasti/shlang-s-konnektorami-25-m-s-izognutoj-ruchkoj-ø-35-mm-cvp120-130/</t>
  </si>
  <si>
    <t>3208151300</t>
  </si>
  <si>
    <t>Шланг с коннекторами 3 м (Ø 40 мм)</t>
  </si>
  <si>
    <t>https://him-auto.ru/pylesosy-pylevodososy-i-zapasnye-chasti/shlang-s-konnektorami-3-m-ø-40-mm/</t>
  </si>
  <si>
    <t>3208065200</t>
  </si>
  <si>
    <t>Шланг с коннекторами 4 м Ø 35 CV20X-CV30X</t>
  </si>
  <si>
    <t>https://him-auto.ru/pylesosy-pylevodososy-i-zapasnye-chasti/shlang-s-konnektorami-4-m-ø-35-cv20x-cv30x/</t>
  </si>
  <si>
    <t>3208064400</t>
  </si>
  <si>
    <t>Шланг с коннекторами 4 м Ø 35 для CVP130PEM</t>
  </si>
  <si>
    <t>https://him-auto.ru/pylesosy-pylevodososy-i-zapasnye-chasti/shlang-s-konnektorami-4-m-ø-35-dlya-cvp130pem/</t>
  </si>
  <si>
    <t>3208152400</t>
  </si>
  <si>
    <t>Шланг с коннекторами 5 метров Ø 35</t>
  </si>
  <si>
    <t>https://him-auto.ru/pylesosy-pylevodososy-i-zapasnye-chasti/shlang-s-konnektorami-5-metrov-ø-35/</t>
  </si>
  <si>
    <t>3208062800</t>
  </si>
  <si>
    <t>Шланг с коннекторами 5 метров с изогнутой ручкой Ø 35</t>
  </si>
  <si>
    <t>https://him-auto.ru/pylesosy-pylevodososy-i-zapasnye-chasti/shlang-s-konnektorami-5-metrov-s-izognutoj-ruchkoj-ø-35/</t>
  </si>
  <si>
    <t>02548/OTT</t>
  </si>
  <si>
    <t>Шланг с подачей моющего средства (D36) 2 м.</t>
  </si>
  <si>
    <t>https://him-auto.ru/pylesosy-pylevodososy-i-zapasnye-chasti/shlang-s-podachej-moyushchego-sredstva-d36-2-m/</t>
  </si>
  <si>
    <t>02551/OTT</t>
  </si>
  <si>
    <t>Шланг с подачей моющего средства (D38)</t>
  </si>
  <si>
    <t>https://him-auto.ru/pylesosy-pylevodososy-i-zapasnye-chasti/shlang-s-podachej-moyushchego-sredstva-d38/</t>
  </si>
  <si>
    <t>264054</t>
  </si>
  <si>
    <t>Штуцер для пылесосов (бак-шланг), O 38 мм</t>
  </si>
  <si>
    <t>https://him-auto.ru/pylesosy-pylevodososy-i-zapasnye-chasti/shtucer-dlya-pylesosov-bak-shlang-o-38-mm/</t>
  </si>
  <si>
    <t>219002900</t>
  </si>
  <si>
    <t>Щелевая насадка Ø 35</t>
  </si>
  <si>
    <t>https://him-auto.ru/pylesosy-pylevodososy-i-zapasnye-chasti/shchelevaya-nasadka-ø-35/</t>
  </si>
  <si>
    <t>219003000</t>
  </si>
  <si>
    <t>Щелевая насадка Ø 40</t>
  </si>
  <si>
    <t>https://him-auto.ru/pylesosy-pylevodososy-i-zapasnye-chasti/shchelevaya-nasadka-ø-40/</t>
  </si>
  <si>
    <t>219004200</t>
  </si>
  <si>
    <t>Щелевая насадка круглый наконечник из антистатической резины Ø 50</t>
  </si>
  <si>
    <t>https://him-auto.ru/pylesosy-pylevodososy-i-zapasnye-chasti/shchelevaya-nasadka-kruglyj-nakonechnik-iz-antistaticheskoj-reziny-ø-50/</t>
  </si>
  <si>
    <t>00080-01589 (0219004100)</t>
  </si>
  <si>
    <t>Щелевая насадка с патрубком Ø 50</t>
  </si>
  <si>
    <t>https://him-auto.ru/pylesosy-pylevodososy-i-zapasnye-chasti/shchelevaya-nasadka-s-patrubkom-ø-50/</t>
  </si>
  <si>
    <t>34788 SPPV S (R2289)</t>
  </si>
  <si>
    <t>Щетина задняя для балки 0041R</t>
  </si>
  <si>
    <t>https://him-auto.ru/pylesosy-pylevodososy-i-zapasnye-chasti/shchetina-zadnyaya-dlya-balki-0041r/</t>
  </si>
  <si>
    <t>34787 SPPV S (R2288)</t>
  </si>
  <si>
    <t>Щетина передняя для балки 0041R</t>
  </si>
  <si>
    <t>https://him-auto.ru/pylesosy-pylevodososy-i-zapasnye-chasti/shchetina-perednyaya-dlya-balki-0041r/</t>
  </si>
  <si>
    <t>00296 PVVR (8162530201)</t>
  </si>
  <si>
    <t>Щетка для YP1400/6</t>
  </si>
  <si>
    <t>https://him-auto.ru/pylesosy-pylevodososy-i-zapasnye-chasti/shchetka-dlya-yp14006/</t>
  </si>
  <si>
    <t>ACPE036</t>
  </si>
  <si>
    <t>Щетка для пылесоса круглая, D 36мм</t>
  </si>
  <si>
    <t>https://him-auto.ru/pylesosy-pylevodososy-i-zapasnye-chasti/shchetka-dlya-pylesosa-kruglaya-d-36mm/</t>
  </si>
  <si>
    <t>ACPE040</t>
  </si>
  <si>
    <t>Щетка для пылесоса круглая, D 40мм</t>
  </si>
  <si>
    <t>https://him-auto.ru/pylesosy-pylevodososy-i-zapasnye-chasti/shchetka-dlya-pylesosa-kruglaya-d-40mm/</t>
  </si>
  <si>
    <t>ACPE050</t>
  </si>
  <si>
    <t>Щетка для пылесоса круглая, D 50мм</t>
  </si>
  <si>
    <t>https://him-auto.ru/pylesosy-pylevodososy-i-zapasnye-chasti/shchetka-dlya-pylesosa-kruglaya-d-50mm/</t>
  </si>
  <si>
    <t>00345 PVVR (81B0180101)</t>
  </si>
  <si>
    <t>Щетка для уборки пола YP1400/20</t>
  </si>
  <si>
    <t>https://him-auto.ru/pylesosy-pylevodososy-i-zapasnye-chasti/shchetka-dlya-uborki-pola-yp140020/</t>
  </si>
  <si>
    <t>01736 SPPV S (00004/32)</t>
  </si>
  <si>
    <t>Щетка круглая для "FOX"</t>
  </si>
  <si>
    <t>https://him-auto.ru/pylesosy-pylevodososy-i-zapasnye-chasti/shchetka-kruglaya-dlya-fox/</t>
  </si>
  <si>
    <t>06275 MPVR S (00004 G52)</t>
  </si>
  <si>
    <t>Щетка круглая для YVO 36мм - диаметр</t>
  </si>
  <si>
    <t>https://him-auto.ru/pylesosy-pylevodososy-i-zapasnye-chasti/shchetka-kruglaya-dlya-yvo-36mm-diametr/</t>
  </si>
  <si>
    <t>28243 SPPV (00004)</t>
  </si>
  <si>
    <t>Щетка круглая, 36мм - диаметр</t>
  </si>
  <si>
    <t>https://him-auto.ru/pylesosy-pylevodososy-i-zapasnye-chasti/shchetka-kruglaya-36mm-diametr/</t>
  </si>
  <si>
    <t>43052 SPPV (06295)</t>
  </si>
  <si>
    <t>Щетка круглая, 38мм - диаметр</t>
  </si>
  <si>
    <t>https://him-auto.ru/pylesosy-pylevodososy-i-zapasnye-chasti/shchetka-kruglaya-38mm-diametr/</t>
  </si>
  <si>
    <t>01960 SPPV S (07865)</t>
  </si>
  <si>
    <t>Щетка напольная с рез. стяжками 50мм - диаметр</t>
  </si>
  <si>
    <t>https://him-auto.ru/pylesosy-pylevodososy-i-zapasnye-chasti/shchetka-napolnaya-s-rez-styazhkami-50mm-diametr/</t>
  </si>
  <si>
    <t>28245 SPPV (2720R)</t>
  </si>
  <si>
    <t>Щетка с рез. стяжками 36мм - диаметр</t>
  </si>
  <si>
    <t>https://him-auto.ru/pylesosy-pylevodososy-i-zapasnye-chasti/shchetka-s-rez-styazhkami-36mm-diametr/</t>
  </si>
  <si>
    <t>43051 SPPV S (06385)</t>
  </si>
  <si>
    <t>Щетка с рез. стяжками 38мм - диаметр</t>
  </si>
  <si>
    <t>https://him-auto.ru/pylesosy-pylevodososy-i-zapasnye-chasti/shchetka-s-rez-styazhkami-38mm-diametr/</t>
  </si>
  <si>
    <t>00093 SPPV S (00002)</t>
  </si>
  <si>
    <t>Щетка с щет. стяжками 36мм - диаметр</t>
  </si>
  <si>
    <t>https://him-auto.ru/pylesosy-pylevodososy-i-zapasnye-chasti/shchetka-s-shchet-styazhkami-36mm-diametr/</t>
  </si>
  <si>
    <t>43050 SPPV (06384)</t>
  </si>
  <si>
    <t>Щетка с щет. стяжками 38мм - диаметр</t>
  </si>
  <si>
    <t>https://him-auto.ru/pylesosy-pylevodososy-i-zapasnye-chasti/shchetka-s-shchet-styazhkami-38mm-diametr/</t>
  </si>
  <si>
    <t>30894 SPPV S (R3200)</t>
  </si>
  <si>
    <t>Щетка турбо “VORTEX”</t>
  </si>
  <si>
    <t>https://him-auto.ru/pylesosy-pylevodososy-i-zapasnye-chasti/shchetka-turbo-“vortex”/</t>
  </si>
  <si>
    <t>CBWHU-01</t>
  </si>
  <si>
    <t>Щетка угольная для CHG 11ME06C</t>
  </si>
  <si>
    <t>https://him-auto.ru/pylesosy-pylevodososy-i-zapasnye-chasti/shchetka-ugolnaya-dlya-chg-11me06c/</t>
  </si>
  <si>
    <t>CBWHU-05</t>
  </si>
  <si>
    <t>Щетка угольная для CHG CG03</t>
  </si>
  <si>
    <t>https://him-auto.ru/pylesosy-pylevodososy-i-zapasnye-chasti/shchetka-ugolnaya-dlya-chg-cg03/</t>
  </si>
  <si>
    <t>CBWHU-03</t>
  </si>
  <si>
    <t>Щетка угольная для CHG CG23</t>
  </si>
  <si>
    <t>https://him-auto.ru/pylesosy-pylevodososy-i-zapasnye-chasti/shchetka-ugolnaya-dlya-chg-cg23/</t>
  </si>
  <si>
    <t>CBWHU-04</t>
  </si>
  <si>
    <t>Щетка угольная для CHG CG58</t>
  </si>
  <si>
    <t>https://him-auto.ru/pylesosy-pylevodososy-i-zapasnye-chasti/shchetka-ugolnaya-dlya-chg-cg58/</t>
  </si>
  <si>
    <t>CBWHU-02</t>
  </si>
  <si>
    <t>Щетка угольная для CHG MOMO40006/20047</t>
  </si>
  <si>
    <t>https://him-auto.ru/pylesosy-pylevodososy-i-zapasnye-chasti/shchetka-ugolnaya-dlya-chg-momo4000620047/</t>
  </si>
  <si>
    <t>02268 MEVR (053300223)</t>
  </si>
  <si>
    <t>Щетка угольная для одностадийной турбины</t>
  </si>
  <si>
    <t>https://him-auto.ru/pylesosy-pylevodososy-i-zapasnye-chasti/shchetka-ugolnaya-dlya-odnostadijnoj-turbiny/</t>
  </si>
  <si>
    <t>01337 SPPV (00632T G52)</t>
  </si>
  <si>
    <t>Щетка-насадка с переключением ковер-пол для YVO, 36мм - диаметр</t>
  </si>
  <si>
    <t>https://him-auto.ru/pylesosy-pylevodososy-i-zapasnye-chasti/shchetka-nasadka-s-pereklyucheniem-kover-pol-dlya-yvo-36mm-diametr/</t>
  </si>
  <si>
    <t>28244 SPPV (00632)</t>
  </si>
  <si>
    <t>Щетка-насадка с переключением ковер-пол, 36мм - диаметр</t>
  </si>
  <si>
    <t>https://him-auto.ru/pylesosy-pylevodososy-i-zapasnye-chasti/shchetka-nasadka-s-pereklyucheniem-kover-pol-36mm-diametr/</t>
  </si>
  <si>
    <t>45036 MECE S (06120)</t>
  </si>
  <si>
    <t>Эл. плата для TORNADO 504</t>
  </si>
  <si>
    <t>https://him-auto.ru/pylesosy-pylevodososy-i-zapasnye-chasti/ehl-plata-dlya-tornado-504/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</si>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</sst>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im-auto.ru/" TargetMode="External"/><Relationship Id="rId_hyperlink_2" Type="http://schemas.openxmlformats.org/officeDocument/2006/relationships/hyperlink" Target="https://him-auto.ru/pylesosy-pylevodososy-i-zapasnye-chasti/cb-wvc-01-moyushchij-pylesos-ehkstraktor-1600-vt/" TargetMode="External"/><Relationship Id="rId_hyperlink_3" Type="http://schemas.openxmlformats.org/officeDocument/2006/relationships/hyperlink" Target="https://him-auto.ru/pylesosy-pylevodososy-i-zapasnye-chasti/cb-wvc-02-moyushchij-pylesos-himchistka-ehkstraktor-1600-vt/" TargetMode="External"/><Relationship Id="rId_hyperlink_4" Type="http://schemas.openxmlformats.org/officeDocument/2006/relationships/hyperlink" Target="https://him-auto.ru/pylesosy-pylevodososy-i-zapasnye-chasti/europa-429ga-xp-pylesos-dlya-suhoj-i-vlazhnoj-uborki-plast-bak-2-turb-2800-vt-62-l-garazh-kompl/" TargetMode="External"/><Relationship Id="rId_hyperlink_5" Type="http://schemas.openxmlformats.org/officeDocument/2006/relationships/hyperlink" Target="https://him-auto.ru/pylesosy-pylevodososy-i-zapasnye-chasti/extra-300ga/" TargetMode="External"/><Relationship Id="rId_hyperlink_6" Type="http://schemas.openxmlformats.org/officeDocument/2006/relationships/hyperlink" Target="https://him-auto.ru/pylesosy-pylevodososy-i-zapasnye-chasti/justo-panda-504-pylesos-dlya-stroitelnyh-rabot-1-turb-32-l/" TargetMode="External"/><Relationship Id="rId_hyperlink_7" Type="http://schemas.openxmlformats.org/officeDocument/2006/relationships/hyperlink" Target="https://him-auto.ru/pylesosy-pylevodososy-i-zapasnye-chasti/leo-pylesos-dlya-suhoj-uborki-maloshumnyj-plastikovyj-bak-1-turb-10-l/" TargetMode="External"/><Relationship Id="rId_hyperlink_8" Type="http://schemas.openxmlformats.org/officeDocument/2006/relationships/hyperlink" Target="https://him-auto.ru/pylesosy-pylevodososy-i-zapasnye-chasti/mec-215-wd-pylesos-dlya-suhoj-i-vlazhnoj-uborki-met-bak-1-turb-1200-vt-24-l-poln-kompl/" TargetMode="External"/><Relationship Id="rId_hyperlink_9" Type="http://schemas.openxmlformats.org/officeDocument/2006/relationships/hyperlink" Target="https://him-auto.ru/pylesosy-pylevodososy-i-zapasnye-chasti/mec-423-wd-pylesos-dlya-suhoj-i-vlazhnoj-uborki-met-bak-2-turb-2600-vt-62-l-poln-kompl/" TargetMode="External"/><Relationship Id="rId_hyperlink_10" Type="http://schemas.openxmlformats.org/officeDocument/2006/relationships/hyperlink" Target="https://him-auto.ru/pylesosy-pylevodososy-i-zapasnye-chasti/mec-433-wd-pylesos-dlya-suhoj-i-vlazhnoj-uborki-met-bak-3-turb-3500-vt-62-lpoln-kompl/" TargetMode="External"/><Relationship Id="rId_hyperlink_11" Type="http://schemas.openxmlformats.org/officeDocument/2006/relationships/hyperlink" Target="https://him-auto.ru/pylesosy-pylevodososy-i-zapasnye-chasti/mec-503-wd-pylesos-dlya-suhoj-i-vlazhnoj-uborkimet-bak-1-turb-1400-vt-32-l-poln-kompl/" TargetMode="External"/><Relationship Id="rId_hyperlink_12" Type="http://schemas.openxmlformats.org/officeDocument/2006/relationships/hyperlink" Target="https://him-auto.ru/pylesosy-pylevodososy-i-zapasnye-chasti/mec-622-sg-pylesos-dlya-suhoj-i-vlazhnoj-uborki-met-bak2-turb-2800-vt-62-l-garazhkompl/" TargetMode="External"/><Relationship Id="rId_hyperlink_13" Type="http://schemas.openxmlformats.org/officeDocument/2006/relationships/hyperlink" Target="https://him-auto.ru/pylesosy-pylevodososy-i-zapasnye-chasti/mec-623-wd-pylesos-dlya-suhoj-i-vlazhnoj-uborki-s-telezhkoj-oprbak-2-turb-2600-vt-78-l-polnkompl/" TargetMode="External"/><Relationship Id="rId_hyperlink_14" Type="http://schemas.openxmlformats.org/officeDocument/2006/relationships/hyperlink" Target="https://him-auto.ru/pylesosy-pylevodososy-i-zapasnye-chasti/mec-atlas-kovrovyj-ehkstraktor-s-telezhkoj-met-bak2-turb-78-l-bak-dlya-himii-20-l/" TargetMode="External"/><Relationship Id="rId_hyperlink_15" Type="http://schemas.openxmlformats.org/officeDocument/2006/relationships/hyperlink" Target="https://him-auto.ru/pylesosy-pylevodososy-i-zapasnye-chasti/mec-idroclean-kovrovyj-ehkstraktor-plast-bak-vodn-nera-filtr-1-turb-27-l-bak-dlya-himii-62-l/" TargetMode="External"/><Relationship Id="rId_hyperlink_16" Type="http://schemas.openxmlformats.org/officeDocument/2006/relationships/hyperlink" Target="https://him-auto.ru/pylesosy-pylevodososy-i-zapasnye-chasti/mec-justo-pylesos-dlya-suhoj-uborki-metallicheskij-bak1-turb-32-l-s-rozetkoj-dlya-instrumenta/" TargetMode="External"/><Relationship Id="rId_hyperlink_17" Type="http://schemas.openxmlformats.org/officeDocument/2006/relationships/hyperlink" Target="https://him-auto.ru/pylesosy-pylevodososy-i-zapasnye-chasti/mec-scup-kovrovyj-ehkstraktor-metal-bak-1-turb-33-l-bak-dlya-himii-11-l/" TargetMode="External"/><Relationship Id="rId_hyperlink_18" Type="http://schemas.openxmlformats.org/officeDocument/2006/relationships/hyperlink" Target="https://him-auto.ru/pylesosy-pylevodososy-i-zapasnye-chasti/mec-wd-161p-pylesos-dlya-suhoj-i-vlazhnoj-uborki-plast-bak-1-turb-1500-vt-16-l-poln-kompl/" TargetMode="External"/><Relationship Id="rId_hyperlink_19" Type="http://schemas.openxmlformats.org/officeDocument/2006/relationships/hyperlink" Target="https://him-auto.ru/pylesosy-pylevodososy-i-zapasnye-chasti/mec-wd-261s-pylesos-dlya-suhoj-i-vlazhnoj-uborki-met-bak-1-turb-1500-vt-26-lpoln-kompl/" TargetMode="External"/><Relationship Id="rId_hyperlink_20" Type="http://schemas.openxmlformats.org/officeDocument/2006/relationships/hyperlink" Target="https://him-auto.ru/pylesosy-pylevodososy-i-zapasnye-chasti/mec-wd-271p-pylesos-dlya-suhoj-i-vlazhnoj-uborki-plast-bak-1-turb-1500-vt-27-lpoln-kompl/" TargetMode="External"/><Relationship Id="rId_hyperlink_21" Type="http://schemas.openxmlformats.org/officeDocument/2006/relationships/hyperlink" Target="https://him-auto.ru/pylesosy-pylevodososy-i-zapasnye-chasti/mec-wd-331s-pylesos-dlya-suhoj-i-vlazhnoj-uborki-met-bak-1-turb-1500-vt-33-lpoln-kompl/" TargetMode="External"/><Relationship Id="rId_hyperlink_22" Type="http://schemas.openxmlformats.org/officeDocument/2006/relationships/hyperlink" Target="https://him-auto.ru/pylesosy-pylevodososy-i-zapasnye-chasti/mec-wd-371p-pylesos-dlya-suhoj-i-vlazhnoj-uborki-plast-bak-1-turb-1500-vt-37-lpoln-kompl/" TargetMode="External"/><Relationship Id="rId_hyperlink_23" Type="http://schemas.openxmlformats.org/officeDocument/2006/relationships/hyperlink" Target="https://him-auto.ru/pylesosy-pylevodososy-i-zapasnye-chasti/mec-wd-411s-pylesos-dlya-suhoj-i-vlazhnoj-uboki-met-bak-1-turb-1500-vt-41-l-poln-kompl/" TargetMode="External"/><Relationship Id="rId_hyperlink_24" Type="http://schemas.openxmlformats.org/officeDocument/2006/relationships/hyperlink" Target="https://him-auto.ru/pylesosy-pylevodososy-i-zapasnye-chasti/mec-wd-429-plus-pylesos-dlya-suhoj-i-vlazhnoj-uborki-2-turb-2800-vt-62-l-floymix-poln-kompl/" TargetMode="External"/><Relationship Id="rId_hyperlink_25" Type="http://schemas.openxmlformats.org/officeDocument/2006/relationships/hyperlink" Target="https://him-auto.ru/pylesosy-pylevodososy-i-zapasnye-chasti/mec-wd-622-s-pylesos-dlya-suhoj-i-vlazhnoj-uborki-met-bak-2-turb-2800-vt-62-lpoln-kompl/" TargetMode="External"/><Relationship Id="rId_hyperlink_26" Type="http://schemas.openxmlformats.org/officeDocument/2006/relationships/hyperlink" Target="https://him-auto.ru/pylesosy-pylevodososy-i-zapasnye-chasti/mec-wd-622pg-pylesos-dlya-suhoj-i-vlazhnoj-uborki-plast-bak-3-turb-3500-vt-62-lgarazh-komp/" TargetMode="External"/><Relationship Id="rId_hyperlink_27" Type="http://schemas.openxmlformats.org/officeDocument/2006/relationships/hyperlink" Target="https://him-auto.ru/pylesosy-pylevodososy-i-zapasnye-chasti/mec-wd-623-s-pylesos-dlya-suhoj-i-vlazhnoj-uborkimet-bak-3-turb-3500-vt-62-l-garazh-kompl/" TargetMode="External"/><Relationship Id="rId_hyperlink_28" Type="http://schemas.openxmlformats.org/officeDocument/2006/relationships/hyperlink" Target="https://him-auto.ru/pylesosy-pylevodososy-i-zapasnye-chasti/mec-wd-623-sg-pylesos-dlya-suh-i-vlazhn-uborkitelezhka-met-bak3-turb3500-vt62-l-garazh-kompl/" TargetMode="External"/><Relationship Id="rId_hyperlink_29" Type="http://schemas.openxmlformats.org/officeDocument/2006/relationships/hyperlink" Target="https://him-auto.ru/pylesosy-pylevodososy-i-zapasnye-chasti/mec-wd-629-plus-pylesos-dlya-suh-i-vlazhn-uborkitelezhka-2-turb3500-vt78lfloymixpoln-kompl/" TargetMode="External"/><Relationship Id="rId_hyperlink_30" Type="http://schemas.openxmlformats.org/officeDocument/2006/relationships/hyperlink" Target="https://him-auto.ru/pylesosy-pylevodososy-i-zapasnye-chasti/mec-wd-640m-pylesos-dlya-dlya-uborki-stroitelnoj-pylimet-bak-3-turb-3300-vt-112-lgarazhk/" TargetMode="External"/><Relationship Id="rId_hyperlink_31" Type="http://schemas.openxmlformats.org/officeDocument/2006/relationships/hyperlink" Target="https://him-auto.ru/pylesosy-pylevodososy-i-zapasnye-chasti/planet-50-p-pylesos-dlya-suhoj-uborki-metal-bak-1-turb-3000-vt-57-l/" TargetMode="External"/><Relationship Id="rId_hyperlink_32" Type="http://schemas.openxmlformats.org/officeDocument/2006/relationships/hyperlink" Target="https://him-auto.ru/pylesosy-pylevodososy-i-zapasnye-chasti/vcm-20s-chg/" TargetMode="External"/><Relationship Id="rId_hyperlink_33" Type="http://schemas.openxmlformats.org/officeDocument/2006/relationships/hyperlink" Target="https://him-auto.ru/pylesosy-pylevodososy-i-zapasnye-chasti/yp-16-eco-b-pylesos-dlya-suhoj-uborki-plastikovyj-bak1-turb-10-l/" TargetMode="External"/><Relationship Id="rId_hyperlink_34" Type="http://schemas.openxmlformats.org/officeDocument/2006/relationships/hyperlink" Target="https://him-auto.ru/pylesosy-pylevodososy-i-zapasnye-chasti/yp-140020-pylesos-dlya-suhoj-i-vlazhnoj-uborki-plastikovyj-bak1-turb-20-l-1400-vt/" TargetMode="External"/><Relationship Id="rId_hyperlink_35" Type="http://schemas.openxmlformats.org/officeDocument/2006/relationships/hyperlink" Target="https://him-auto.ru/pylesosy-pylevodososy-i-zapasnye-chasti/yp-14006-pylesos-dlya-suhoj-uborki-plastikovyj-bak1-turb-10-l/" TargetMode="External"/><Relationship Id="rId_hyperlink_36" Type="http://schemas.openxmlformats.org/officeDocument/2006/relationships/hyperlink" Target="https://him-auto.ru/pylesosy-pylevodososy-i-zapasnye-chasti/aksessuary-dlya-pylesosov-zapchasti/" TargetMode="External"/><Relationship Id="rId_hyperlink_37" Type="http://schemas.openxmlformats.org/officeDocument/2006/relationships/hyperlink" Target="https://him-auto.ru/pylesosy-pylevodososy-i-zapasnye-chasti/aksessuary-dlya-pylesosov-zapchasti/?sku=155073" TargetMode="External"/><Relationship Id="rId_hyperlink_38" Type="http://schemas.openxmlformats.org/officeDocument/2006/relationships/hyperlink" Target="https://him-auto.ru/pylesosy-pylevodososy-i-zapasnye-chasti/baza-telezhki-plastik-bez-koles-bez-ruchki-dlya-bf580-3/" TargetMode="External"/><Relationship Id="rId_hyperlink_39" Type="http://schemas.openxmlformats.org/officeDocument/2006/relationships/hyperlink" Target="https://him-auto.ru/pylesosy-pylevodososy-i-zapasnye-chasti/bak-korpus-tornado-200/" TargetMode="External"/><Relationship Id="rId_hyperlink_40" Type="http://schemas.openxmlformats.org/officeDocument/2006/relationships/hyperlink" Target="https://him-auto.ru/pylesosy-pylevodososy-i-zapasnye-chasti/bak-korpus-tornado-200-idro/" TargetMode="External"/><Relationship Id="rId_hyperlink_41" Type="http://schemas.openxmlformats.org/officeDocument/2006/relationships/hyperlink" Target="https://him-auto.ru/pylesosy-pylevodososy-i-zapasnye-chasti/bak-panda-503-v-sbore/" TargetMode="External"/><Relationship Id="rId_hyperlink_42" Type="http://schemas.openxmlformats.org/officeDocument/2006/relationships/hyperlink" Target="https://him-auto.ru/pylesosy-pylevodososy-i-zapasnye-chasti/bak-vnutrennij-dlya-himchistki-v-sbore-tornado-300/" TargetMode="External"/><Relationship Id="rId_hyperlink_43" Type="http://schemas.openxmlformats.org/officeDocument/2006/relationships/hyperlink" Target="https://him-auto.ru/pylesosy-pylevodososy-i-zapasnye-chasti/bak-vsbore-tornado-200-idro/" TargetMode="External"/><Relationship Id="rId_hyperlink_44" Type="http://schemas.openxmlformats.org/officeDocument/2006/relationships/hyperlink" Target="https://him-auto.ru/pylesosy-pylevodososy-i-zapasnye-chasti/bak-dlya-panda-440-plast/" TargetMode="External"/><Relationship Id="rId_hyperlink_45" Type="http://schemas.openxmlformats.org/officeDocument/2006/relationships/hyperlink" Target="https://him-auto.ru/pylesosy-pylevodososy-i-zapasnye-chasti/bak-dlya-himchistki-tornado-200-vedro-vnutrennee/" TargetMode="External"/><Relationship Id="rId_hyperlink_46" Type="http://schemas.openxmlformats.org/officeDocument/2006/relationships/hyperlink" Target="https://him-auto.ru/pylesosy-pylevodososy-i-zapasnye-chasti/bak-dlya-himchistki-tornado-300-vedro-vnutrennee/" TargetMode="External"/><Relationship Id="rId_hyperlink_47" Type="http://schemas.openxmlformats.org/officeDocument/2006/relationships/hyperlink" Target="https://him-auto.ru/pylesosy-pylevodososy-i-zapasnye-chasti/bak-iz-nerzhstali-dlya-pylesosov-440-423-433/" TargetMode="External"/><Relationship Id="rId_hyperlink_48" Type="http://schemas.openxmlformats.org/officeDocument/2006/relationships/hyperlink" Target="https://him-auto.ru/pylesosy-pylevodososy-i-zapasnye-chasti/bak-iz-plastika-dlya-pylesosa-panda-215-m-xp-plast/" TargetMode="External"/><Relationship Id="rId_hyperlink_49" Type="http://schemas.openxmlformats.org/officeDocument/2006/relationships/hyperlink" Target="https://him-auto.ru/pylesosy-pylevodososy-i-zapasnye-chasti/bak-iz-plastika-dlya-pylesosov-tornado-440/" TargetMode="External"/><Relationship Id="rId_hyperlink_50" Type="http://schemas.openxmlformats.org/officeDocument/2006/relationships/hyperlink" Target="https://him-auto.ru/pylesosy-pylevodososy-i-zapasnye-chasti/bak-metallicheskij-06713/" TargetMode="External"/><Relationship Id="rId_hyperlink_51" Type="http://schemas.openxmlformats.org/officeDocument/2006/relationships/hyperlink" Target="https://him-auto.ru/pylesosy-pylevodososy-i-zapasnye-chasti/bak-pylesosa-nerzhstal/" TargetMode="External"/><Relationship Id="rId_hyperlink_52" Type="http://schemas.openxmlformats.org/officeDocument/2006/relationships/hyperlink" Target="https://him-auto.ru/pylesosy-pylevodososy-i-zapasnye-chasti/bak-s-kryshkoj-i-bumazhnym-filtrom-bak-62-litra-40060-patrubok-d50/" TargetMode="External"/><Relationship Id="rId_hyperlink_53" Type="http://schemas.openxmlformats.org/officeDocument/2006/relationships/hyperlink" Target="https://him-auto.ru/pylesosy-pylevodososy-i-zapasnye-chasti/balka-dlya-dlya-vsasyvaniya-zhidkosti-komplekt/" TargetMode="External"/><Relationship Id="rId_hyperlink_54" Type="http://schemas.openxmlformats.org/officeDocument/2006/relationships/hyperlink" Target="https://him-auto.ru/pylesosy-pylevodososy-i-zapasnye-chasti/bobina-22-m/" TargetMode="External"/><Relationship Id="rId_hyperlink_55" Type="http://schemas.openxmlformats.org/officeDocument/2006/relationships/hyperlink" Target="https://him-auto.ru/pylesosy-pylevodososy-i-zapasnye-chasti/bolt-filtra-dlya-v640-m/" TargetMode="External"/><Relationship Id="rId_hyperlink_56" Type="http://schemas.openxmlformats.org/officeDocument/2006/relationships/hyperlink" Target="https://him-auto.ru/pylesosy-pylevodososy-i-zapasnye-chasti/bumazhnye-meshki-komplekt-10-sht/" TargetMode="External"/><Relationship Id="rId_hyperlink_57" Type="http://schemas.openxmlformats.org/officeDocument/2006/relationships/hyperlink" Target="https://him-auto.ru/pylesosy-pylevodososy-i-zapasnye-chasti/bumazhnye-meshki-komplekt-10-sht/?sku=160580" TargetMode="External"/><Relationship Id="rId_hyperlink_58" Type="http://schemas.openxmlformats.org/officeDocument/2006/relationships/hyperlink" Target="https://him-auto.ru/pylesosy-pylevodososy-i-zapasnye-chasti/bumazhnye-meshki-komplekt-10-shtcvp/" TargetMode="External"/><Relationship Id="rId_hyperlink_59" Type="http://schemas.openxmlformats.org/officeDocument/2006/relationships/hyperlink" Target="https://him-auto.ru/pylesosy-pylevodososy-i-zapasnye-chasti/bumazhnye-meshki-komplekt-5-shtcm20s-cv20s/" TargetMode="External"/><Relationship Id="rId_hyperlink_60" Type="http://schemas.openxmlformats.org/officeDocument/2006/relationships/hyperlink" Target="https://him-auto.ru/pylesosy-pylevodososy-i-zapasnye-chasti/bumazhnye-meshki-komplekt-5-shtcv20x/" TargetMode="External"/><Relationship Id="rId_hyperlink_61" Type="http://schemas.openxmlformats.org/officeDocument/2006/relationships/hyperlink" Target="https://him-auto.ru/pylesosy-pylevodososy-i-zapasnye-chasti/bumazhnye-meshki-komplekt-5-shtcv30/" TargetMode="External"/><Relationship Id="rId_hyperlink_62" Type="http://schemas.openxmlformats.org/officeDocument/2006/relationships/hyperlink" Target="https://him-auto.ru/pylesosy-pylevodososy-i-zapasnye-chasti/bunker-dlya-musorosbornika/" TargetMode="External"/><Relationship Id="rId_hyperlink_63" Type="http://schemas.openxmlformats.org/officeDocument/2006/relationships/hyperlink" Target="https://him-auto.ru/pylesosy-pylevodososy-i-zapasnye-chasti/bystrosemnyj-patrubok-ocinkovannyj-&#248;-7050/" TargetMode="External"/><Relationship Id="rId_hyperlink_64" Type="http://schemas.openxmlformats.org/officeDocument/2006/relationships/hyperlink" Target="https://him-auto.ru/pylesosy-pylevodososy-i-zapasnye-chasti/vedro-dlya-razdeleniya-struzhki-bez-poplavka-dlya-baka-s-nasosom/" TargetMode="External"/><Relationship Id="rId_hyperlink_65" Type="http://schemas.openxmlformats.org/officeDocument/2006/relationships/hyperlink" Target="https://him-auto.ru/pylesosy-pylevodososy-i-zapasnye-chasti/vint-dlya-pylesosa-gp-262-spray-ext/" TargetMode="External"/><Relationship Id="rId_hyperlink_66" Type="http://schemas.openxmlformats.org/officeDocument/2006/relationships/hyperlink" Target="https://him-auto.ru/pylesosy-pylevodososy-i-zapasnye-chasti/vint-dlya-pylesosa-gs-378-oil/" TargetMode="External"/><Relationship Id="rId_hyperlink_67" Type="http://schemas.openxmlformats.org/officeDocument/2006/relationships/hyperlink" Target="https://him-auto.ru/pylesosy-pylevodososy-i-zapasnye-chasti/vint-dlya-pylesosa-panda/" TargetMode="External"/><Relationship Id="rId_hyperlink_68" Type="http://schemas.openxmlformats.org/officeDocument/2006/relationships/hyperlink" Target="https://him-auto.ru/pylesosy-pylevodososy-i-zapasnye-chasti/vint-dlya-pylesosa-panda/?sku=154536" TargetMode="External"/><Relationship Id="rId_hyperlink_69" Type="http://schemas.openxmlformats.org/officeDocument/2006/relationships/hyperlink" Target="https://him-auto.ru/pylesosy-pylevodososy-i-zapasnye-chasti/vint-dlya-pylesosa-planet-755-s/" TargetMode="External"/><Relationship Id="rId_hyperlink_70" Type="http://schemas.openxmlformats.org/officeDocument/2006/relationships/hyperlink" Target="https://him-auto.ru/pylesosy-pylevodososy-i-zapasnye-chasti/vint-dlya-pylesosa-tornado/" TargetMode="External"/><Relationship Id="rId_hyperlink_71" Type="http://schemas.openxmlformats.org/officeDocument/2006/relationships/hyperlink" Target="https://him-auto.ru/pylesosy-pylevodososy-i-zapasnye-chasti/vint-dlya-pylesosa-tornado/?sku=154532" TargetMode="External"/><Relationship Id="rId_hyperlink_72" Type="http://schemas.openxmlformats.org/officeDocument/2006/relationships/hyperlink" Target="https://him-auto.ru/pylesosy-pylevodososy-i-zapasnye-chasti/vint-dlya-pylesosa-tornado/?sku=154535" TargetMode="External"/><Relationship Id="rId_hyperlink_73" Type="http://schemas.openxmlformats.org/officeDocument/2006/relationships/hyperlink" Target="https://him-auto.ru/pylesosy-pylevodososy-i-zapasnye-chasti/vint-dlya-pylesosa-tornado/?sku=154546" TargetMode="External"/><Relationship Id="rId_hyperlink_74" Type="http://schemas.openxmlformats.org/officeDocument/2006/relationships/hyperlink" Target="https://him-auto.ru/pylesosy-pylevodososy-i-zapasnye-chasti/vint-dlya-pylesosa-tornado-200-idro/" TargetMode="External"/><Relationship Id="rId_hyperlink_75" Type="http://schemas.openxmlformats.org/officeDocument/2006/relationships/hyperlink" Target="https://him-auto.ru/pylesosy-pylevodososy-i-zapasnye-chasti/vodopylesos-ares-plus-inox-awi125py/" TargetMode="External"/><Relationship Id="rId_hyperlink_76" Type="http://schemas.openxmlformats.org/officeDocument/2006/relationships/hyperlink" Target="https://him-auto.ru/pylesosy-pylevodososy-i-zapasnye-chasti/vodopylesos-ares-plus-inox-awi125pycw/" TargetMode="External"/><Relationship Id="rId_hyperlink_77" Type="http://schemas.openxmlformats.org/officeDocument/2006/relationships/hyperlink" Target="https://him-auto.ru/pylesosy-pylevodososy-i-zapasnye-chasti/vodopylesos-ares-plus-awp125py/" TargetMode="External"/><Relationship Id="rId_hyperlink_78" Type="http://schemas.openxmlformats.org/officeDocument/2006/relationships/hyperlink" Target="https://him-auto.ru/pylesosy-pylevodososy-i-zapasnye-chasti/vodopylesos-ares-plus-awp125pycw/" TargetMode="External"/><Relationship Id="rId_hyperlink_79" Type="http://schemas.openxmlformats.org/officeDocument/2006/relationships/hyperlink" Target="https://him-auto.ru/pylesosy-pylevodososy-i-zapasnye-chasti/vodopylesos-ares-wetdry-awp110y/" TargetMode="External"/><Relationship Id="rId_hyperlink_80" Type="http://schemas.openxmlformats.org/officeDocument/2006/relationships/hyperlink" Target="https://him-auto.ru/pylesosy-pylevodososy-i-zapasnye-chasti/vodopylesos-bio-bwp110/" TargetMode="External"/><Relationship Id="rId_hyperlink_81" Type="http://schemas.openxmlformats.org/officeDocument/2006/relationships/hyperlink" Target="https://him-auto.ru/pylesosy-pylevodososy-i-zapasnye-chasti/vodopylesos-exel-wi220cw-inox-exwi220ycw/" TargetMode="External"/><Relationship Id="rId_hyperlink_82" Type="http://schemas.openxmlformats.org/officeDocument/2006/relationships/hyperlink" Target="https://him-auto.ru/pylesosy-pylevodososy-i-zapasnye-chasti/vodopylesos-exel-wi330cw-inox-exwi330y/" TargetMode="External"/><Relationship Id="rId_hyperlink_83" Type="http://schemas.openxmlformats.org/officeDocument/2006/relationships/hyperlink" Target="https://him-auto.ru/pylesosy-pylevodososy-i-zapasnye-chasti/vodopylesos-exel-wi330cw-inox-exwi330ycw/" TargetMode="External"/><Relationship Id="rId_hyperlink_84" Type="http://schemas.openxmlformats.org/officeDocument/2006/relationships/hyperlink" Target="https://him-auto.ru/pylesosy-pylevodososy-i-zapasnye-chasti/vodopylesos-exel-wp220cw-exwp220ycw/" TargetMode="External"/><Relationship Id="rId_hyperlink_85" Type="http://schemas.openxmlformats.org/officeDocument/2006/relationships/hyperlink" Target="https://him-auto.ru/pylesosy-pylevodososy-i-zapasnye-chasti/vodopylesos-exel-wp330y-exwp330y/" TargetMode="External"/><Relationship Id="rId_hyperlink_86" Type="http://schemas.openxmlformats.org/officeDocument/2006/relationships/hyperlink" Target="https://him-auto.ru/pylesosy-pylevodososy-i-zapasnye-chasti/vodopylesos-exel-wp330y-exwp330ycw/" TargetMode="External"/><Relationship Id="rId_hyperlink_87" Type="http://schemas.openxmlformats.org/officeDocument/2006/relationships/hyperlink" Target="https://him-auto.ru/pylesosy-pylevodososy-i-zapasnye-chasti/vodopylesos-extra-200/" TargetMode="External"/><Relationship Id="rId_hyperlink_88" Type="http://schemas.openxmlformats.org/officeDocument/2006/relationships/hyperlink" Target="https://him-auto.ru/pylesosy-pylevodososy-i-zapasnye-chasti/vodopylesos-mirage-1-w-1-26-s-asdo-40028/" TargetMode="External"/><Relationship Id="rId_hyperlink_89" Type="http://schemas.openxmlformats.org/officeDocument/2006/relationships/hyperlink" Target="https://him-auto.ru/pylesosy-pylevodososy-i-zapasnye-chasti/vodopylesos-mirage-1-w-1-32-s-asdo-40029/" TargetMode="External"/><Relationship Id="rId_hyperlink_90" Type="http://schemas.openxmlformats.org/officeDocument/2006/relationships/hyperlink" Target="https://him-auto.ru/pylesosy-pylevodososy-i-zapasnye-chasti/vodopylesos-mirage-1-w-2-61-s-ga-asdo-40030/" TargetMode="External"/><Relationship Id="rId_hyperlink_91" Type="http://schemas.openxmlformats.org/officeDocument/2006/relationships/hyperlink" Target="https://him-auto.ru/pylesosy-pylevodososy-i-zapasnye-chasti/vodopylesos-mirage-1-w-2-76-s-asdo-40032/" TargetMode="External"/><Relationship Id="rId_hyperlink_92" Type="http://schemas.openxmlformats.org/officeDocument/2006/relationships/hyperlink" Target="https://him-auto.ru/pylesosy-pylevodososy-i-zapasnye-chasti/vodopylesos-mirage-1-w-3-61-s-ga-asdo-40031/" TargetMode="External"/><Relationship Id="rId_hyperlink_93" Type="http://schemas.openxmlformats.org/officeDocument/2006/relationships/hyperlink" Target="https://him-auto.ru/pylesosy-pylevodososy-i-zapasnye-chasti/vodopylesos-mirage-1-w-3-76-s-asdo-40033/" TargetMode="External"/><Relationship Id="rId_hyperlink_94" Type="http://schemas.openxmlformats.org/officeDocument/2006/relationships/hyperlink" Target="https://him-auto.ru/pylesosy-pylevodososy-i-zapasnye-chasti/vodopylesos-panda-215-inox-09786-asdo/" TargetMode="External"/><Relationship Id="rId_hyperlink_95" Type="http://schemas.openxmlformats.org/officeDocument/2006/relationships/hyperlink" Target="https://him-auto.ru/pylesosy-pylevodososy-i-zapasnye-chasti/vodopylesos-panda-423-inox-09808-asdo/" TargetMode="External"/><Relationship Id="rId_hyperlink_96" Type="http://schemas.openxmlformats.org/officeDocument/2006/relationships/hyperlink" Target="https://him-auto.ru/pylesosy-pylevodososy-i-zapasnye-chasti/vodopylesos-panda-433-inox-09837-asdo/" TargetMode="External"/><Relationship Id="rId_hyperlink_97" Type="http://schemas.openxmlformats.org/officeDocument/2006/relationships/hyperlink" Target="https://him-auto.ru/pylesosy-pylevodososy-i-zapasnye-chasti/vodopylesos-panda-623-inox-09918-asdo/" TargetMode="External"/><Relationship Id="rId_hyperlink_98" Type="http://schemas.openxmlformats.org/officeDocument/2006/relationships/hyperlink" Target="https://him-auto.ru/pylesosy-pylevodososy-i-zapasnye-chasti/vodopylesos-panda-633-inox-09948-asdo/" TargetMode="External"/><Relationship Id="rId_hyperlink_99" Type="http://schemas.openxmlformats.org/officeDocument/2006/relationships/hyperlink" Target="https://him-auto.ru/pylesosy-pylevodososy-i-zapasnye-chasti/vodopylesos-rl-215/" TargetMode="External"/><Relationship Id="rId_hyperlink_100" Type="http://schemas.openxmlformats.org/officeDocument/2006/relationships/hyperlink" Target="https://him-auto.ru/pylesosy-pylevodososy-i-zapasnye-chasti/vodopylesos-tornado-215-inox-11173-asdo/" TargetMode="External"/><Relationship Id="rId_hyperlink_101" Type="http://schemas.openxmlformats.org/officeDocument/2006/relationships/hyperlink" Target="https://him-auto.ru/pylesosy-pylevodososy-i-zapasnye-chasti/vodopylesos-tornado-423-inox-11201-asdo/" TargetMode="External"/><Relationship Id="rId_hyperlink_102" Type="http://schemas.openxmlformats.org/officeDocument/2006/relationships/hyperlink" Target="https://him-auto.ru/pylesosy-pylevodososy-i-zapasnye-chasti/vodopylesos-tornado-433-inox-11272-asdo/" TargetMode="External"/><Relationship Id="rId_hyperlink_103" Type="http://schemas.openxmlformats.org/officeDocument/2006/relationships/hyperlink" Target="https://him-auto.ru/pylesosy-pylevodososy-i-zapasnye-chasti/vodopylesos-tornado-503-inox-11296-asdo/" TargetMode="External"/><Relationship Id="rId_hyperlink_104" Type="http://schemas.openxmlformats.org/officeDocument/2006/relationships/hyperlink" Target="https://him-auto.ru/pylesosy-pylevodososy-i-zapasnye-chasti/vodopylesos-tornado-623-inox-11340-asdo/" TargetMode="External"/><Relationship Id="rId_hyperlink_105" Type="http://schemas.openxmlformats.org/officeDocument/2006/relationships/hyperlink" Target="https://him-auto.ru/pylesosy-pylevodososy-i-zapasnye-chasti/vodopylesos-tornado-629-inox-11342-asdo/" TargetMode="External"/><Relationship Id="rId_hyperlink_106" Type="http://schemas.openxmlformats.org/officeDocument/2006/relationships/hyperlink" Target="https://him-auto.ru/pylesosy-pylevodososy-i-zapasnye-chasti/vodopylesos-tornado-633-inox-11344-asdo/" TargetMode="External"/><Relationship Id="rId_hyperlink_107" Type="http://schemas.openxmlformats.org/officeDocument/2006/relationships/hyperlink" Target="https://him-auto.ru/pylesosy-pylevodososy-i-zapasnye-chasti/vodopylesos-tornado-640-inox-11346-asdo/" TargetMode="External"/><Relationship Id="rId_hyperlink_108" Type="http://schemas.openxmlformats.org/officeDocument/2006/relationships/hyperlink" Target="https://him-auto.ru/pylesosy-pylevodososy-i-zapasnye-chasti/vodopylesos-verso-wi330y-inox-vewi330y/" TargetMode="External"/><Relationship Id="rId_hyperlink_109" Type="http://schemas.openxmlformats.org/officeDocument/2006/relationships/hyperlink" Target="https://him-auto.ru/pylesosy-pylevodososy-i-zapasnye-chasti/vodopylesos-verso-wp330y-vewp330y/" TargetMode="External"/><Relationship Id="rId_hyperlink_110" Type="http://schemas.openxmlformats.org/officeDocument/2006/relationships/hyperlink" Target="https://him-auto.ru/pylesosy-pylevodososy-i-zapasnye-chasti/vodopylesos-dlya-vlazhnoj-i-suhoj-uborki-s-sistemoj-ciklon-30-litrov-inox/" TargetMode="External"/><Relationship Id="rId_hyperlink_111" Type="http://schemas.openxmlformats.org/officeDocument/2006/relationships/hyperlink" Target="https://him-auto.ru/pylesosy-pylevodososy-i-zapasnye-chasti/vodopylesos-dlya-sbora-zoly-i-pepla-15-litrov-inox/" TargetMode="External"/><Relationship Id="rId_hyperlink_112" Type="http://schemas.openxmlformats.org/officeDocument/2006/relationships/hyperlink" Target="https://him-auto.ru/pylesosy-pylevodososy-i-zapasnye-chasti/vsasyvayushchij-shlang-dlya-ehkstraktora-comer-svc-112-polnyj-komplekt/" TargetMode="External"/><Relationship Id="rId_hyperlink_113" Type="http://schemas.openxmlformats.org/officeDocument/2006/relationships/hyperlink" Target="https://him-auto.ru/pylesosy-pylevodososy-i-zapasnye-chasti/vsasyvayushchij-shlang-dlya-ehkstraktora-jupiter-polnyj-komplekt/" TargetMode="External"/><Relationship Id="rId_hyperlink_114" Type="http://schemas.openxmlformats.org/officeDocument/2006/relationships/hyperlink" Target="https://him-auto.ru/pylesosy-pylevodososy-i-zapasnye-chasti/vstavka-dlya-nasadki-s-rezinovymi-styazhkami-l-300-mm-&#248;-35/" TargetMode="External"/><Relationship Id="rId_hyperlink_115" Type="http://schemas.openxmlformats.org/officeDocument/2006/relationships/hyperlink" Target="https://him-auto.ru/pylesosy-pylevodososy-i-zapasnye-chasti/vstavka-dlya-nasadki-s-rezinovymi-styazhkami-l-400-mm-&#248;-40/" TargetMode="External"/><Relationship Id="rId_hyperlink_116" Type="http://schemas.openxmlformats.org/officeDocument/2006/relationships/hyperlink" Target="https://him-auto.ru/pylesosy-pylevodososy-i-zapasnye-chasti/vstavka-dlya-nasadki-s-rezinovymi-styazhkami-dlya-vlazhnoj-uborki/" TargetMode="External"/><Relationship Id="rId_hyperlink_117" Type="http://schemas.openxmlformats.org/officeDocument/2006/relationships/hyperlink" Target="https://him-auto.ru/pylesosy-pylevodososy-i-zapasnye-chasti/vstavka-dlya-nasadki-s-shchetkami-dlya-kovrov-l-400-mm-&#248;-40/" TargetMode="External"/><Relationship Id="rId_hyperlink_118" Type="http://schemas.openxmlformats.org/officeDocument/2006/relationships/hyperlink" Target="https://him-auto.ru/pylesosy-pylevodososy-i-zapasnye-chasti/vstavka-dlya-nasadki-s-shchetkami-dlya-pyli-l-300-mm-&#248;-35/" TargetMode="External"/><Relationship Id="rId_hyperlink_119" Type="http://schemas.openxmlformats.org/officeDocument/2006/relationships/hyperlink" Target="https://him-auto.ru/pylesosy-pylevodososy-i-zapasnye-chasti/vstavka-dlya-nasadki-s-shchetkami-dlya-pyli-l-400-mm-&#248;-40/" TargetMode="External"/><Relationship Id="rId_hyperlink_120" Type="http://schemas.openxmlformats.org/officeDocument/2006/relationships/hyperlink" Target="https://him-auto.ru/pylesosy-pylevodososy-i-zapasnye-chasti/vstavka-dlya-nasadki-so-shchetkami-dlya-suhoj-uborki/" TargetMode="External"/><Relationship Id="rId_hyperlink_121" Type="http://schemas.openxmlformats.org/officeDocument/2006/relationships/hyperlink" Target="https://him-auto.ru/pylesosy-pylevodososy-i-zapasnye-chasti/vtorichnyj-filtr-kartridzh-hepa/" TargetMode="External"/><Relationship Id="rId_hyperlink_122" Type="http://schemas.openxmlformats.org/officeDocument/2006/relationships/hyperlink" Target="https://him-auto.ru/pylesosy-pylevodososy-i-zapasnye-chasti/vtulka-deflektora/" TargetMode="External"/><Relationship Id="rId_hyperlink_123" Type="http://schemas.openxmlformats.org/officeDocument/2006/relationships/hyperlink" Target="https://him-auto.ru/pylesosy-pylevodososy-i-zapasnye-chasti/vyklyuchatel-davleniya-gp110-14/" TargetMode="External"/><Relationship Id="rId_hyperlink_124" Type="http://schemas.openxmlformats.org/officeDocument/2006/relationships/hyperlink" Target="https://him-auto.ru/pylesosy-pylevodososy-i-zapasnye-chasti/vyklyuchatel-dlya-pylesosa/" TargetMode="External"/><Relationship Id="rId_hyperlink_125" Type="http://schemas.openxmlformats.org/officeDocument/2006/relationships/hyperlink" Target="https://him-auto.ru/pylesosy-pylevodososy-i-zapasnye-chasti/gajka-krepleniya/" TargetMode="External"/><Relationship Id="rId_hyperlink_126" Type="http://schemas.openxmlformats.org/officeDocument/2006/relationships/hyperlink" Target="https://him-auto.ru/pylesosy-pylevodososy-i-zapasnye-chasti/gajka-filtra-dlya-v640-m/" TargetMode="External"/><Relationship Id="rId_hyperlink_127" Type="http://schemas.openxmlformats.org/officeDocument/2006/relationships/hyperlink" Target="https://him-auto.ru/pylesosy-pylevodososy-i-zapasnye-chasti/gibkaya-shchelevaya-nasadka-375-mm-s-zashchitoj-ot-krazh/" TargetMode="External"/><Relationship Id="rId_hyperlink_128" Type="http://schemas.openxmlformats.org/officeDocument/2006/relationships/hyperlink" Target="https://him-auto.ru/pylesosy-pylevodososy-i-zapasnye-chasti/gibkaya-shchelevaya-nasadka-vrashch-375-mm-dn-38-vrashch-zashchita-ot-krazh-blagodarya-clip-zamku-iz-3-chastej/" TargetMode="External"/><Relationship Id="rId_hyperlink_129" Type="http://schemas.openxmlformats.org/officeDocument/2006/relationships/hyperlink" Target="https://him-auto.ru/pylesosy-pylevodososy-i-zapasnye-chasti/gibkij-shlang-dlya-himchistki-200-2m-dlina/" TargetMode="External"/><Relationship Id="rId_hyperlink_130" Type="http://schemas.openxmlformats.org/officeDocument/2006/relationships/hyperlink" Target="https://him-auto.ru/pylesosy-pylevodososy-i-zapasnye-chasti/dvigatel-55-kvt-380v-h112-hp75-4p-ma-ac-kw-55-4p-polyj-val-d24mm/" TargetMode="External"/><Relationship Id="rId_hyperlink_131" Type="http://schemas.openxmlformats.org/officeDocument/2006/relationships/hyperlink" Target="https://him-auto.ru/pylesosy-pylevodososy-i-zapasnye-chasti/derzhatel-aksessuarov-dlya-yvo-wet/" TargetMode="External"/><Relationship Id="rId_hyperlink_132" Type="http://schemas.openxmlformats.org/officeDocument/2006/relationships/hyperlink" Target="https://him-auto.ru/pylesosy-pylevodososy-i-zapasnye-chasti/derzhatel-grebenchatogo-filtra/" TargetMode="External"/><Relationship Id="rId_hyperlink_133" Type="http://schemas.openxmlformats.org/officeDocument/2006/relationships/hyperlink" Target="https://him-auto.ru/pylesosy-pylevodososy-i-zapasnye-chasti/derzhatel-grebenchatogo-filtra-200-idro/" TargetMode="External"/><Relationship Id="rId_hyperlink_134" Type="http://schemas.openxmlformats.org/officeDocument/2006/relationships/hyperlink" Target="https://him-auto.ru/pylesosy-pylevodososy-i-zapasnye-chasti/derzhatel-grebenchatogo-filtra-200-idro/?sku=154991" TargetMode="External"/><Relationship Id="rId_hyperlink_135" Type="http://schemas.openxmlformats.org/officeDocument/2006/relationships/hyperlink" Target="https://him-auto.ru/pylesosy-pylevodososy-i-zapasnye-chasti/derzhatel-meshka-plastikovyj/" TargetMode="External"/><Relationship Id="rId_hyperlink_136" Type="http://schemas.openxmlformats.org/officeDocument/2006/relationships/hyperlink" Target="https://him-auto.ru/pylesosy-pylevodososy-i-zapasnye-chasti/derzhatel-filtra-200-idro/" TargetMode="External"/><Relationship Id="rId_hyperlink_137" Type="http://schemas.openxmlformats.org/officeDocument/2006/relationships/hyperlink" Target="https://him-auto.ru/pylesosy-pylevodososy-i-zapasnye-chasti/drenazhnyj-slivnoj-shlang-s-probkoj-dlya-bf580/" TargetMode="External"/><Relationship Id="rId_hyperlink_138" Type="http://schemas.openxmlformats.org/officeDocument/2006/relationships/hyperlink" Target="https://him-auto.ru/pylesosy-pylevodososy-i-zapasnye-chasti/zazhim-dlya-krepleniya-shlanga-podachi-himii-k-vakuumnomu-shlangu-soteco/" TargetMode="External"/><Relationship Id="rId_hyperlink_139" Type="http://schemas.openxmlformats.org/officeDocument/2006/relationships/hyperlink" Target="https://him-auto.ru/pylesosy-pylevodososy-i-zapasnye-chasti/zaklepka-200-200-idro/" TargetMode="External"/><Relationship Id="rId_hyperlink_140" Type="http://schemas.openxmlformats.org/officeDocument/2006/relationships/hyperlink" Target="https://him-auto.ru/pylesosy-pylevodososy-i-zapasnye-chasti/zap-chast-dlya-pylesosa/" TargetMode="External"/><Relationship Id="rId_hyperlink_141" Type="http://schemas.openxmlformats.org/officeDocument/2006/relationships/hyperlink" Target="https://him-auto.ru/pylesosy-pylevodososy-i-zapasnye-chasti/zashchelka-dlya-pylesosov/" TargetMode="External"/><Relationship Id="rId_hyperlink_142" Type="http://schemas.openxmlformats.org/officeDocument/2006/relationships/hyperlink" Target="https://him-auto.ru/pylesosy-pylevodososy-i-zapasnye-chasti/zashchelka-dlya-pylesosov-krome-v640m-planet-50/" TargetMode="External"/><Relationship Id="rId_hyperlink_143" Type="http://schemas.openxmlformats.org/officeDocument/2006/relationships/hyperlink" Target="https://him-auto.ru/pylesosy-pylevodososy-i-zapasnye-chasti/zashchelka-klipsa-baka-dlya-bf570/" TargetMode="External"/><Relationship Id="rId_hyperlink_144" Type="http://schemas.openxmlformats.org/officeDocument/2006/relationships/hyperlink" Target="https://him-auto.ru/pylesosy-pylevodososy-i-zapasnye-chasti/zashchelka-klipsa-dlya-baka/" TargetMode="External"/><Relationship Id="rId_hyperlink_145" Type="http://schemas.openxmlformats.org/officeDocument/2006/relationships/hyperlink" Target="https://him-auto.ru/pylesosy-pylevodososy-i-zapasnye-chasti/zashchelka-metallplastik-01847sg4/" TargetMode="External"/><Relationship Id="rId_hyperlink_146" Type="http://schemas.openxmlformats.org/officeDocument/2006/relationships/hyperlink" Target="https://him-auto.ru/pylesosy-pylevodososy-i-zapasnye-chasti/zashchelka-klipsa-baka-bf580/" TargetMode="External"/><Relationship Id="rId_hyperlink_147" Type="http://schemas.openxmlformats.org/officeDocument/2006/relationships/hyperlink" Target="https://him-auto.ru/pylesosy-pylevodososy-i-zapasnye-chasti/zashchita-turbiny-pylesosa-poplavok/" TargetMode="External"/><Relationship Id="rId_hyperlink_148" Type="http://schemas.openxmlformats.org/officeDocument/2006/relationships/hyperlink" Target="https://him-auto.ru/pylesosy-pylevodososy-i-zapasnye-chasti/zashchita-filtrov-dlya-600-mark-nx-3flow/" TargetMode="External"/><Relationship Id="rId_hyperlink_149" Type="http://schemas.openxmlformats.org/officeDocument/2006/relationships/hyperlink" Target="https://him-auto.ru/pylesosy-pylevodososy-i-zapasnye-chasti/kabel/" TargetMode="External"/><Relationship Id="rId_hyperlink_150" Type="http://schemas.openxmlformats.org/officeDocument/2006/relationships/hyperlink" Target="https://him-auto.ru/pylesosy-pylevodososy-i-zapasnye-chasti/kabel/?sku=154993" TargetMode="External"/><Relationship Id="rId_hyperlink_151" Type="http://schemas.openxmlformats.org/officeDocument/2006/relationships/hyperlink" Target="https://him-auto.ru/pylesosy-pylevodososy-i-zapasnye-chasti/kabel-ehlektricheskij-s-soed-ehlementami/" TargetMode="External"/><Relationship Id="rId_hyperlink_152" Type="http://schemas.openxmlformats.org/officeDocument/2006/relationships/hyperlink" Target="https://him-auto.ru/pylesosy-pylevodososy-i-zapasnye-chasti/kartridzhnyj-filtr-yp140020/" TargetMode="External"/><Relationship Id="rId_hyperlink_153" Type="http://schemas.openxmlformats.org/officeDocument/2006/relationships/hyperlink" Target="https://him-auto.ru/pylesosy-pylevodososy-i-zapasnye-chasti/knopka-belaya-215-503/" TargetMode="External"/><Relationship Id="rId_hyperlink_154" Type="http://schemas.openxmlformats.org/officeDocument/2006/relationships/hyperlink" Target="https://him-auto.ru/pylesosy-pylevodososy-i-zapasnye-chasti/knopka-belaya-215-503/?sku=155001" TargetMode="External"/><Relationship Id="rId_hyperlink_155" Type="http://schemas.openxmlformats.org/officeDocument/2006/relationships/hyperlink" Target="https://him-auto.ru/pylesosy-pylevodososy-i-zapasnye-chasti/knopka-zelennaya-200-200-idro-300-700/" TargetMode="External"/><Relationship Id="rId_hyperlink_156" Type="http://schemas.openxmlformats.org/officeDocument/2006/relationships/hyperlink" Target="https://him-auto.ru/pylesosy-pylevodososy-i-zapasnye-chasti/knopka-krasnaya-200-300-423-433-429-629-633/" TargetMode="External"/><Relationship Id="rId_hyperlink_157" Type="http://schemas.openxmlformats.org/officeDocument/2006/relationships/hyperlink" Target="https://him-auto.ru/pylesosy-pylevodososy-i-zapasnye-chasti/knopka-krasnaya-200-300-423-433-429-629-633/?sku=155018" TargetMode="External"/><Relationship Id="rId_hyperlink_158" Type="http://schemas.openxmlformats.org/officeDocument/2006/relationships/hyperlink" Target="https://him-auto.ru/pylesosy-pylevodososy-i-zapasnye-chasti/knopka-krasnaya-423-433-429-629-633/" TargetMode="External"/><Relationship Id="rId_hyperlink_159" Type="http://schemas.openxmlformats.org/officeDocument/2006/relationships/hyperlink" Target="https://him-auto.ru/pylesosy-pylevodososy-i-zapasnye-chasti/knopka-chernaya/" TargetMode="External"/><Relationship Id="rId_hyperlink_160" Type="http://schemas.openxmlformats.org/officeDocument/2006/relationships/hyperlink" Target="https://him-auto.ru/pylesosy-pylevodososy-i-zapasnye-chasti/knopka-dlya-yp-140020/" TargetMode="External"/><Relationship Id="rId_hyperlink_161" Type="http://schemas.openxmlformats.org/officeDocument/2006/relationships/hyperlink" Target="https://him-auto.ru/pylesosy-pylevodososy-i-zapasnye-chasti/knopka-dlya-yp-14006/" TargetMode="External"/><Relationship Id="rId_hyperlink_162" Type="http://schemas.openxmlformats.org/officeDocument/2006/relationships/hyperlink" Target="https://him-auto.ru/pylesosy-pylevodososy-i-zapasnye-chasti/koleso-00479/" TargetMode="External"/><Relationship Id="rId_hyperlink_163" Type="http://schemas.openxmlformats.org/officeDocument/2006/relationships/hyperlink" Target="https://him-auto.ru/pylesosy-pylevodososy-i-zapasnye-chasti/koleso-bolshoe-dlya-pylesosov-na-telezhke/" TargetMode="External"/><Relationship Id="rId_hyperlink_164" Type="http://schemas.openxmlformats.org/officeDocument/2006/relationships/hyperlink" Target="https://him-auto.ru/pylesosy-pylevodososy-i-zapasnye-chasti/koleso-v-sbore-dlya-pylesosa-exel/" TargetMode="External"/><Relationship Id="rId_hyperlink_165" Type="http://schemas.openxmlformats.org/officeDocument/2006/relationships/hyperlink" Target="https://him-auto.ru/pylesosy-pylevodososy-i-zapasnye-chasti/koleso-dlya-panda-xp-na-telezhke/" TargetMode="External"/><Relationship Id="rId_hyperlink_166" Type="http://schemas.openxmlformats.org/officeDocument/2006/relationships/hyperlink" Target="https://him-auto.ru/pylesosy-pylevodososy-i-zapasnye-chasti/koleso-dlya-yvo/" TargetMode="External"/><Relationship Id="rId_hyperlink_167" Type="http://schemas.openxmlformats.org/officeDocument/2006/relationships/hyperlink" Target="https://him-auto.ru/pylesosy-pylevodososy-i-zapasnye-chasti/koleso-zadnee-02896/" TargetMode="External"/><Relationship Id="rId_hyperlink_168" Type="http://schemas.openxmlformats.org/officeDocument/2006/relationships/hyperlink" Target="https://him-auto.ru/pylesosy-pylevodososy-i-zapasnye-chasti/koleso-mal-200-200-idro-215-300-503/" TargetMode="External"/><Relationship Id="rId_hyperlink_169" Type="http://schemas.openxmlformats.org/officeDocument/2006/relationships/hyperlink" Target="https://him-auto.ru/pylesosy-pylevodososy-i-zapasnye-chasti/koleso-malenkoe-dlya-pylesosov-na-telezhke/" TargetMode="External"/><Relationship Id="rId_hyperlink_170" Type="http://schemas.openxmlformats.org/officeDocument/2006/relationships/hyperlink" Target="https://him-auto.ru/pylesosy-pylevodososy-i-zapasnye-chasti/koleso-povorotnoe/" TargetMode="External"/><Relationship Id="rId_hyperlink_171" Type="http://schemas.openxmlformats.org/officeDocument/2006/relationships/hyperlink" Target="https://him-auto.ru/pylesosy-pylevodososy-i-zapasnye-chasti/koleso-sred-423-429-433-629/" TargetMode="External"/><Relationship Id="rId_hyperlink_172" Type="http://schemas.openxmlformats.org/officeDocument/2006/relationships/hyperlink" Target="https://him-auto.ru/pylesosy-pylevodososy-i-zapasnye-chasti/kolpachek-dlya-osnovaniya-pylesosa/" TargetMode="External"/><Relationship Id="rId_hyperlink_173" Type="http://schemas.openxmlformats.org/officeDocument/2006/relationships/hyperlink" Target="https://him-auto.ru/pylesosy-pylevodososy-i-zapasnye-chasti/kolpachek-penogasitelya-200-idro/" TargetMode="External"/><Relationship Id="rId_hyperlink_174" Type="http://schemas.openxmlformats.org/officeDocument/2006/relationships/hyperlink" Target="https://him-auto.ru/pylesosy-pylevodososy-i-zapasnye-chasti/kolco-deflektora-200-idro/" TargetMode="External"/><Relationship Id="rId_hyperlink_175" Type="http://schemas.openxmlformats.org/officeDocument/2006/relationships/hyperlink" Target="https://him-auto.ru/pylesosy-pylevodososy-i-zapasnye-chasti/kolco-deflektora-200-idro/?sku=154924" TargetMode="External"/><Relationship Id="rId_hyperlink_176" Type="http://schemas.openxmlformats.org/officeDocument/2006/relationships/hyperlink" Target="https://him-auto.ru/pylesosy-pylevodososy-i-zapasnye-chasti/kolco-dlya-pylesosa/" TargetMode="External"/><Relationship Id="rId_hyperlink_177" Type="http://schemas.openxmlformats.org/officeDocument/2006/relationships/hyperlink" Target="https://him-auto.ru/pylesosy-pylevodososy-i-zapasnye-chasti/kolco-dlya-pylesosa/?sku=155007" TargetMode="External"/><Relationship Id="rId_hyperlink_178" Type="http://schemas.openxmlformats.org/officeDocument/2006/relationships/hyperlink" Target="https://him-auto.ru/pylesosy-pylevodososy-i-zapasnye-chasti/kolco-nasosa-tornado-200/" TargetMode="External"/><Relationship Id="rId_hyperlink_179" Type="http://schemas.openxmlformats.org/officeDocument/2006/relationships/hyperlink" Target="https://him-auto.ru/pylesosy-pylevodososy-i-zapasnye-chasti/kolco-sinteponovogo-filtra-v-640-m/" TargetMode="External"/><Relationship Id="rId_hyperlink_180" Type="http://schemas.openxmlformats.org/officeDocument/2006/relationships/hyperlink" Target="https://him-auto.ru/pylesosy-pylevodososy-i-zapasnye-chasti/kolco-filtra-meshka-dlya-bf-575/" TargetMode="External"/><Relationship Id="rId_hyperlink_181" Type="http://schemas.openxmlformats.org/officeDocument/2006/relationships/hyperlink" Target="https://him-auto.ru/pylesosy-pylevodososy-i-zapasnye-chasti/kolco-filtra-meshka-dlya-bf570/" TargetMode="External"/><Relationship Id="rId_hyperlink_182" Type="http://schemas.openxmlformats.org/officeDocument/2006/relationships/hyperlink" Target="https://him-auto.ru/pylesosy-pylevodososy-i-zapasnye-chasti/komplekt-dlya-slivnogo-krana-dlya-bochki/" TargetMode="External"/><Relationship Id="rId_hyperlink_183" Type="http://schemas.openxmlformats.org/officeDocument/2006/relationships/hyperlink" Target="https://him-auto.ru/pylesosy-pylevodososy-i-zapasnye-chasti/komplekt-dlya-chistki-kovrov-&#248;-40/" TargetMode="External"/><Relationship Id="rId_hyperlink_184" Type="http://schemas.openxmlformats.org/officeDocument/2006/relationships/hyperlink" Target="https://him-auto.ru/pylesosy-pylevodososy-i-zapasnye-chasti/komplekt-sborki-vtorichnogo-filtra-kartridzh-hepa/" TargetMode="External"/><Relationship Id="rId_hyperlink_185" Type="http://schemas.openxmlformats.org/officeDocument/2006/relationships/hyperlink" Target="https://him-auto.ru/pylesosy-pylevodososy-i-zapasnye-chasti/komplekt-trubok-metallicheskih-2sht-komplekt/" TargetMode="External"/><Relationship Id="rId_hyperlink_186" Type="http://schemas.openxmlformats.org/officeDocument/2006/relationships/hyperlink" Target="https://him-auto.ru/pylesosy-pylevodososy-i-zapasnye-chasti/komplekt-shlanga-3-m-dlya-masla/" TargetMode="External"/><Relationship Id="rId_hyperlink_187" Type="http://schemas.openxmlformats.org/officeDocument/2006/relationships/hyperlink" Target="https://him-auto.ru/pylesosy-pylevodososy-i-zapasnye-chasti/komplektuyushchie-patrubki-&#248;-50/" TargetMode="External"/><Relationship Id="rId_hyperlink_188" Type="http://schemas.openxmlformats.org/officeDocument/2006/relationships/hyperlink" Target="https://him-auto.ru/pylesosy-pylevodososy-i-zapasnye-chasti/kondensator-dlya-504/" TargetMode="External"/><Relationship Id="rId_hyperlink_189" Type="http://schemas.openxmlformats.org/officeDocument/2006/relationships/hyperlink" Target="https://him-auto.ru/pylesosy-pylevodososy-i-zapasnye-chasti/kondensator-dlya-504/?sku=155038" TargetMode="External"/><Relationship Id="rId_hyperlink_190" Type="http://schemas.openxmlformats.org/officeDocument/2006/relationships/hyperlink" Target="https://him-auto.ru/pylesosy-pylevodososy-i-zapasnye-chasti/konektor-dlya-shlanga-bak/" TargetMode="External"/><Relationship Id="rId_hyperlink_191" Type="http://schemas.openxmlformats.org/officeDocument/2006/relationships/hyperlink" Target="https://him-auto.ru/pylesosy-pylevodososy-i-zapasnye-chasti/konektor-dlya-shlanga-nasadka/" TargetMode="External"/><Relationship Id="rId_hyperlink_192" Type="http://schemas.openxmlformats.org/officeDocument/2006/relationships/hyperlink" Target="https://him-auto.ru/pylesosy-pylevodososy-i-zapasnye-chasti/konnektor-pylesosa-dlya-shlanga/" TargetMode="External"/><Relationship Id="rId_hyperlink_193" Type="http://schemas.openxmlformats.org/officeDocument/2006/relationships/hyperlink" Target="https://him-auto.ru/pylesosy-pylevodososy-i-zapasnye-chasti/konnektor-pylesosa-dlya-shlanga/?sku=154986" TargetMode="External"/><Relationship Id="rId_hyperlink_194" Type="http://schemas.openxmlformats.org/officeDocument/2006/relationships/hyperlink" Target="https://him-auto.ru/pylesosy-pylevodososy-i-zapasnye-chasti/konnektor-pylesosa-dlya-shlanga-02652ane/" TargetMode="External"/><Relationship Id="rId_hyperlink_195" Type="http://schemas.openxmlformats.org/officeDocument/2006/relationships/hyperlink" Target="https://him-auto.ru/pylesosy-pylevodososy-i-zapasnye-chasti/konnektor-razem-pylesos-shlang-vhod-bf570/" TargetMode="External"/><Relationship Id="rId_hyperlink_196" Type="http://schemas.openxmlformats.org/officeDocument/2006/relationships/hyperlink" Target="https://him-auto.ru/pylesosy-pylevodososy-i-zapasnye-chasti/konnektor-razem-pylesos-shlang-vhod-bf580/" TargetMode="External"/><Relationship Id="rId_hyperlink_197" Type="http://schemas.openxmlformats.org/officeDocument/2006/relationships/hyperlink" Target="https://him-auto.ru/pylesosy-pylevodososy-i-zapasnye-chasti/konnektor-shlang-nasadka-d40mm/" TargetMode="External"/><Relationship Id="rId_hyperlink_198" Type="http://schemas.openxmlformats.org/officeDocument/2006/relationships/hyperlink" Target="https://him-auto.ru/pylesosy-pylevodososy-i-zapasnye-chasti/konnektor-shlang-pylesos-d40mm/" TargetMode="External"/><Relationship Id="rId_hyperlink_199" Type="http://schemas.openxmlformats.org/officeDocument/2006/relationships/hyperlink" Target="https://him-auto.ru/pylesosy-pylevodososy-i-zapasnye-chasti/konnektor-shlang-nasadka-&#248;-40/" TargetMode="External"/><Relationship Id="rId_hyperlink_200" Type="http://schemas.openxmlformats.org/officeDocument/2006/relationships/hyperlink" Target="https://him-auto.ru/pylesosy-pylevodososy-i-zapasnye-chasti/konnektor-shlang-pylesos-&#248;-40/" TargetMode="External"/><Relationship Id="rId_hyperlink_201" Type="http://schemas.openxmlformats.org/officeDocument/2006/relationships/hyperlink" Target="https://him-auto.ru/pylesosy-pylevodososy-i-zapasnye-chasti/konnektor-shchetki-novyj-obrazec-kit-y21b/" TargetMode="External"/><Relationship Id="rId_hyperlink_202" Type="http://schemas.openxmlformats.org/officeDocument/2006/relationships/hyperlink" Target="https://him-auto.ru/pylesosy-pylevodososy-i-zapasnye-chasti/korzina-dlya-poplavka-ocinkovannaya/" TargetMode="External"/><Relationship Id="rId_hyperlink_203" Type="http://schemas.openxmlformats.org/officeDocument/2006/relationships/hyperlink" Target="https://him-auto.ru/pylesosy-pylevodososy-i-zapasnye-chasti/korpus-baka-yvo/" TargetMode="External"/><Relationship Id="rId_hyperlink_204" Type="http://schemas.openxmlformats.org/officeDocument/2006/relationships/hyperlink" Target="https://him-auto.ru/pylesosy-pylevodososy-i-zapasnye-chasti/korpus-deflektora-200-idro/" TargetMode="External"/><Relationship Id="rId_hyperlink_205" Type="http://schemas.openxmlformats.org/officeDocument/2006/relationships/hyperlink" Target="https://him-auto.ru/pylesosy-pylevodososy-i-zapasnye-chasti/kreplenie-dlya-baka-pylesosa/" TargetMode="External"/><Relationship Id="rId_hyperlink_206" Type="http://schemas.openxmlformats.org/officeDocument/2006/relationships/hyperlink" Target="https://him-auto.ru/pylesosy-pylevodososy-i-zapasnye-chasti/kreplenie-k-pylesosu-iz-alyuminiya-&#248;-60-50/" TargetMode="External"/><Relationship Id="rId_hyperlink_207" Type="http://schemas.openxmlformats.org/officeDocument/2006/relationships/hyperlink" Target="https://him-auto.ru/pylesosy-pylevodososy-i-zapasnye-chasti/kreplenie-telezhki-dlya-baka-pylesosa-tornado/" TargetMode="External"/><Relationship Id="rId_hyperlink_208" Type="http://schemas.openxmlformats.org/officeDocument/2006/relationships/hyperlink" Target="https://him-auto.ru/pylesosy-pylevodososy-i-zapasnye-chasti/kreplenie-telezhki-k-baku-pylesosa-kometa/" TargetMode="External"/><Relationship Id="rId_hyperlink_209" Type="http://schemas.openxmlformats.org/officeDocument/2006/relationships/hyperlink" Target="https://him-auto.ru/pylesosy-pylevodososy-i-zapasnye-chasti/kruglaya-shchetka-dlya-parogeneratora-hp-d27-64020009-/" TargetMode="External"/><Relationship Id="rId_hyperlink_210" Type="http://schemas.openxmlformats.org/officeDocument/2006/relationships/hyperlink" Target="https://him-auto.ru/pylesosy-pylevodososy-i-zapasnye-chasti/kryshka-panda-400/" TargetMode="External"/><Relationship Id="rId_hyperlink_211" Type="http://schemas.openxmlformats.org/officeDocument/2006/relationships/hyperlink" Target="https://him-auto.ru/pylesosy-pylevodososy-i-zapasnye-chasti/kryshka-verh-200-200-idro-300/" TargetMode="External"/><Relationship Id="rId_hyperlink_212" Type="http://schemas.openxmlformats.org/officeDocument/2006/relationships/hyperlink" Target="https://him-auto.ru/pylesosy-pylevodososy-i-zapasnye-chasti/kryshka-verh-215-503/" TargetMode="External"/><Relationship Id="rId_hyperlink_213" Type="http://schemas.openxmlformats.org/officeDocument/2006/relationships/hyperlink" Target="https://him-auto.ru/pylesosy-pylevodososy-i-zapasnye-chasti/kryshka-verh-tornado/" TargetMode="External"/><Relationship Id="rId_hyperlink_214" Type="http://schemas.openxmlformats.org/officeDocument/2006/relationships/hyperlink" Target="https://him-auto.ru/pylesosy-pylevodososy-i-zapasnye-chasti/kryshka-verh-tornado-423-429-623-629-700/" TargetMode="External"/><Relationship Id="rId_hyperlink_215" Type="http://schemas.openxmlformats.org/officeDocument/2006/relationships/hyperlink" Target="https://him-auto.ru/pylesosy-pylevodososy-i-zapasnye-chasti/kryshka-verh-tornado-433-633/" TargetMode="External"/><Relationship Id="rId_hyperlink_216" Type="http://schemas.openxmlformats.org/officeDocument/2006/relationships/hyperlink" Target="https://him-auto.ru/pylesosy-pylevodososy-i-zapasnye-chasti/kryshka-verhnyaya-215-panda-xp/" TargetMode="External"/><Relationship Id="rId_hyperlink_217" Type="http://schemas.openxmlformats.org/officeDocument/2006/relationships/hyperlink" Target="https://him-auto.ru/pylesosy-pylevodososy-i-zapasnye-chasti/kryshka-verhnyaya-215-small-panda-xp/" TargetMode="External"/><Relationship Id="rId_hyperlink_218" Type="http://schemas.openxmlformats.org/officeDocument/2006/relationships/hyperlink" Target="https://him-auto.ru/pylesosy-pylevodososy-i-zapasnye-chasti/kryshka-verhnyaya-dlya-panda/" TargetMode="External"/><Relationship Id="rId_hyperlink_219" Type="http://schemas.openxmlformats.org/officeDocument/2006/relationships/hyperlink" Target="https://him-auto.ru/pylesosy-pylevodososy-i-zapasnye-chasti/kryshka-zam-dlya-02957-ar/" TargetMode="External"/><Relationship Id="rId_hyperlink_220" Type="http://schemas.openxmlformats.org/officeDocument/2006/relationships/hyperlink" Target="https://him-auto.ru/pylesosy-pylevodososy-i-zapasnye-chasti/kryshka-korpusa-mec-600-2m-gr5000/" TargetMode="External"/><Relationship Id="rId_hyperlink_221" Type="http://schemas.openxmlformats.org/officeDocument/2006/relationships/hyperlink" Target="https://him-auto.ru/pylesosy-pylevodososy-i-zapasnye-chasti/kryshka-prostavka-200-200-idro-300/" TargetMode="External"/><Relationship Id="rId_hyperlink_222" Type="http://schemas.openxmlformats.org/officeDocument/2006/relationships/hyperlink" Target="https://him-auto.ru/pylesosy-pylevodososy-i-zapasnye-chasti/kryshka-prostavka-215-503/" TargetMode="External"/><Relationship Id="rId_hyperlink_223" Type="http://schemas.openxmlformats.org/officeDocument/2006/relationships/hyperlink" Target="https://him-auto.ru/pylesosy-pylevodososy-i-zapasnye-chasti/kryshka-prostavka-215-503/?sku=155041" TargetMode="External"/><Relationship Id="rId_hyperlink_224" Type="http://schemas.openxmlformats.org/officeDocument/2006/relationships/hyperlink" Target="https://him-auto.ru/pylesosy-pylevodososy-i-zapasnye-chasti/kryshka-prostavka-423-429-433-623-629-633/" TargetMode="External"/><Relationship Id="rId_hyperlink_225" Type="http://schemas.openxmlformats.org/officeDocument/2006/relationships/hyperlink" Target="https://him-auto.ru/pylesosy-pylevodososy-i-zapasnye-chasti/kryshka-prostavka-niz-tornado-215-503/" TargetMode="External"/><Relationship Id="rId_hyperlink_226" Type="http://schemas.openxmlformats.org/officeDocument/2006/relationships/hyperlink" Target="https://him-auto.ru/pylesosy-pylevodososy-i-zapasnye-chasti/kryshka-filtra-tonkoj-ochistki-d175-02855/" TargetMode="External"/><Relationship Id="rId_hyperlink_227" Type="http://schemas.openxmlformats.org/officeDocument/2006/relationships/hyperlink" Target="https://him-auto.ru/pylesosy-pylevodososy-i-zapasnye-chasti/kurok-dlya-nasadki-00752-himchistka/" TargetMode="External"/><Relationship Id="rId_hyperlink_228" Type="http://schemas.openxmlformats.org/officeDocument/2006/relationships/hyperlink" Target="https://him-auto.ru/pylesosy-pylevodososy-i-zapasnye-chasti/meshki-dlya-pylesosa-comet-sinteticheskie-upakovka-10-sht-dlya-cvp-265-278-378-svs-150-287/" TargetMode="External"/><Relationship Id="rId_hyperlink_229" Type="http://schemas.openxmlformats.org/officeDocument/2006/relationships/hyperlink" Target="https://him-auto.ru/pylesosy-pylevodososy-i-zapasnye-chasti/meshki-dlya-pylesosa-comet-sinteticheskie-upakovka-3-sht-dlya-cv-20-30-50-svp-112-120130/" TargetMode="External"/><Relationship Id="rId_hyperlink_230" Type="http://schemas.openxmlformats.org/officeDocument/2006/relationships/hyperlink" Target="https://him-auto.ru/pylesosy-pylevodososy-i-zapasnye-chasti/meshki-iz-mikrofibry-komplekt-10-sht/" TargetMode="External"/><Relationship Id="rId_hyperlink_231" Type="http://schemas.openxmlformats.org/officeDocument/2006/relationships/hyperlink" Target="https://him-auto.ru/pylesosy-pylevodososy-i-zapasnye-chasti/meshki-iz-mikrofibry-komplekt-5-sht/" TargetMode="External"/><Relationship Id="rId_hyperlink_232" Type="http://schemas.openxmlformats.org/officeDocument/2006/relationships/hyperlink" Target="https://him-auto.ru/pylesosy-pylevodososy-i-zapasnye-chasti/meshok-dlya-planet-100-ktri03175/" TargetMode="External"/><Relationship Id="rId_hyperlink_233" Type="http://schemas.openxmlformats.org/officeDocument/2006/relationships/hyperlink" Target="https://him-auto.ru/pylesosy-pylevodososy-i-zapasnye-chasti/meshok-dlya-sbora-pyli-iz-mikrofibry-cm-12-s-free-k-t-3-sht/" TargetMode="External"/><Relationship Id="rId_hyperlink_234" Type="http://schemas.openxmlformats.org/officeDocument/2006/relationships/hyperlink" Target="https://him-auto.ru/pylesosy-pylevodososy-i-zapasnye-chasti/meshok-iz-mikrofibry-dlya-gs-378/" TargetMode="External"/><Relationship Id="rId_hyperlink_235" Type="http://schemas.openxmlformats.org/officeDocument/2006/relationships/hyperlink" Target="https://him-auto.ru/pylesosy-pylevodososy-i-zapasnye-chasti/meshok-filtr-vozdushnyj-dlya-tornado-ys-1-20-wd-tc/" TargetMode="External"/><Relationship Id="rId_hyperlink_236" Type="http://schemas.openxmlformats.org/officeDocument/2006/relationships/hyperlink" Target="https://him-auto.ru/pylesosy-pylevodososy-i-zapasnye-chasti/motor-vakuumnyj-turbina-1100-vt-230v-jupiter/" TargetMode="External"/><Relationship Id="rId_hyperlink_237" Type="http://schemas.openxmlformats.org/officeDocument/2006/relationships/hyperlink" Target="https://him-auto.ru/pylesosy-pylevodososy-i-zapasnye-chasti/motor-vakuumnyj-turbina-1200-vt-230v-cvp-112-quiet-wisper/" TargetMode="External"/><Relationship Id="rId_hyperlink_238" Type="http://schemas.openxmlformats.org/officeDocument/2006/relationships/hyperlink" Target="https://him-auto.ru/pylesosy-pylevodososy-i-zapasnye-chasti/motor-vakuumnyj-turbina-s-prokladkami-1200-vt-230v-cv-20-s-cm-30-s/" TargetMode="External"/><Relationship Id="rId_hyperlink_239" Type="http://schemas.openxmlformats.org/officeDocument/2006/relationships/hyperlink" Target="https://him-auto.ru/pylesosy-pylevodososy-i-zapasnye-chasti/moyushchaya-nasadka-dlya-mebeli/" TargetMode="External"/><Relationship Id="rId_hyperlink_240" Type="http://schemas.openxmlformats.org/officeDocument/2006/relationships/hyperlink" Target="https://him-auto.ru/pylesosy-pylevodososy-i-zapasnye-chasti/moyushchaya-nasadka-dlya-mebeli-d-37/" TargetMode="External"/><Relationship Id="rId_hyperlink_241" Type="http://schemas.openxmlformats.org/officeDocument/2006/relationships/hyperlink" Target="https://him-auto.ru/pylesosy-pylevodososy-i-zapasnye-chasti/moyushchaya-nasadka-dlya-himchistki-bez-kurka-i-shlanga-dlya-himii/" TargetMode="External"/><Relationship Id="rId_hyperlink_242" Type="http://schemas.openxmlformats.org/officeDocument/2006/relationships/hyperlink" Target="https://him-auto.ru/pylesosy-pylevodososy-i-zapasnye-chasti/moyushchij-pylesos-estro-ewiv125y-inox/" TargetMode="External"/><Relationship Id="rId_hyperlink_243" Type="http://schemas.openxmlformats.org/officeDocument/2006/relationships/hyperlink" Target="https://him-auto.ru/pylesosy-pylevodososy-i-zapasnye-chasti/moyushchij-pylesos-estro-ewpv125y/" TargetMode="External"/><Relationship Id="rId_hyperlink_244" Type="http://schemas.openxmlformats.org/officeDocument/2006/relationships/hyperlink" Target="https://him-auto.ru/pylesosy-pylevodososy-i-zapasnye-chasti/moyushchij-pylesos-estro-ewpv330y/" TargetMode="External"/><Relationship Id="rId_hyperlink_245" Type="http://schemas.openxmlformats.org/officeDocument/2006/relationships/hyperlink" Target="https://him-auto.ru/pylesosy-pylevodososy-i-zapasnye-chasti/moyushchij-pylesos-estro-wpv110/" TargetMode="External"/><Relationship Id="rId_hyperlink_246" Type="http://schemas.openxmlformats.org/officeDocument/2006/relationships/hyperlink" Target="https://him-auto.ru/pylesosy-pylevodososy-i-zapasnye-chasti/moyushchij-pylesos-plus-1-w-1-22-p/" TargetMode="External"/><Relationship Id="rId_hyperlink_247" Type="http://schemas.openxmlformats.org/officeDocument/2006/relationships/hyperlink" Target="https://him-auto.ru/pylesosy-pylevodososy-i-zapasnye-chasti/moyushchij-pylesos-plus-1-w-1-32-s/" TargetMode="External"/><Relationship Id="rId_hyperlink_248" Type="http://schemas.openxmlformats.org/officeDocument/2006/relationships/hyperlink" Target="https://him-auto.ru/pylesosy-pylevodososy-i-zapasnye-chasti/moyushchij-pylesos-plus-1-w-2-60-s-ga/" TargetMode="External"/><Relationship Id="rId_hyperlink_249" Type="http://schemas.openxmlformats.org/officeDocument/2006/relationships/hyperlink" Target="https://him-auto.ru/pylesosy-pylevodososy-i-zapasnye-chasti/moyushchij-pylesos-tor-lc-20sc/" TargetMode="External"/><Relationship Id="rId_hyperlink_250" Type="http://schemas.openxmlformats.org/officeDocument/2006/relationships/hyperlink" Target="https://him-auto.ru/pylesosy-pylevodososy-i-zapasnye-chasti/moyushchij-pylesos-tor-lc-20sc-ga-avtomobilnaya-komplektaciya/" TargetMode="External"/><Relationship Id="rId_hyperlink_251" Type="http://schemas.openxmlformats.org/officeDocument/2006/relationships/hyperlink" Target="https://him-auto.ru/pylesosy-pylevodososy-i-zapasnye-chasti/moyushchij-pylesos-tor-lc-30sc/" TargetMode="External"/><Relationship Id="rId_hyperlink_252" Type="http://schemas.openxmlformats.org/officeDocument/2006/relationships/hyperlink" Target="https://him-auto.ru/pylesosy-pylevodososy-i-zapasnye-chasti/moyushchij-pylesos-tor-lc-30sc-ga-avtomobilnaya-komplektaciya/" TargetMode="External"/><Relationship Id="rId_hyperlink_253" Type="http://schemas.openxmlformats.org/officeDocument/2006/relationships/hyperlink" Target="https://him-auto.ru/pylesosy-pylevodososy-i-zapasnye-chasti/moyushchij-pylesos-tor-lc-40sc/" TargetMode="External"/><Relationship Id="rId_hyperlink_254" Type="http://schemas.openxmlformats.org/officeDocument/2006/relationships/hyperlink" Target="https://him-auto.ru/pylesosy-pylevodososy-i-zapasnye-chasti/moyushchij-pylesos-tor-lc-40sc-ga-avtomobilnaya-komplektaciya/" TargetMode="External"/><Relationship Id="rId_hyperlink_255" Type="http://schemas.openxmlformats.org/officeDocument/2006/relationships/hyperlink" Target="https://him-auto.ru/pylesosy-pylevodososy-i-zapasnye-chasti/moyushchij-pylesos-tor-lc-602sc/" TargetMode="External"/><Relationship Id="rId_hyperlink_256" Type="http://schemas.openxmlformats.org/officeDocument/2006/relationships/hyperlink" Target="https://him-auto.ru/pylesosy-pylevodososy-i-zapasnye-chasti/moyushchij-pylesos-tor-lc-802sc/" TargetMode="External"/><Relationship Id="rId_hyperlink_257" Type="http://schemas.openxmlformats.org/officeDocument/2006/relationships/hyperlink" Target="https://him-auto.ru/pylesosy-pylevodososy-i-zapasnye-chasti/moyushchij-pylesos-tor-rl-208/" TargetMode="External"/><Relationship Id="rId_hyperlink_258" Type="http://schemas.openxmlformats.org/officeDocument/2006/relationships/hyperlink" Target="https://him-auto.ru/pylesosy-pylevodososy-i-zapasnye-chasti/moyushchij-pylesos-tornado-200/" TargetMode="External"/><Relationship Id="rId_hyperlink_259" Type="http://schemas.openxmlformats.org/officeDocument/2006/relationships/hyperlink" Target="https://him-auto.ru/pylesosy-pylevodososy-i-zapasnye-chasti/moyushchij-pylesos-tornado-200-s-vodyanym-filtrom/" TargetMode="External"/><Relationship Id="rId_hyperlink_260" Type="http://schemas.openxmlformats.org/officeDocument/2006/relationships/hyperlink" Target="https://him-auto.ru/pylesosy-pylevodososy-i-zapasnye-chasti/moyushchij-pylesos-tornado-200-ga/" TargetMode="External"/><Relationship Id="rId_hyperlink_261" Type="http://schemas.openxmlformats.org/officeDocument/2006/relationships/hyperlink" Target="https://him-auto.ru/pylesosy-pylevodososy-i-zapasnye-chasti/moyushchij-pylesos-tornado-300-ga/" TargetMode="External"/><Relationship Id="rId_hyperlink_262" Type="http://schemas.openxmlformats.org/officeDocument/2006/relationships/hyperlink" Target="https://him-auto.ru/pylesosy-pylevodososy-i-zapasnye-chasti/moyushchij-pylesos-tornado-300-inox/" TargetMode="External"/><Relationship Id="rId_hyperlink_263" Type="http://schemas.openxmlformats.org/officeDocument/2006/relationships/hyperlink" Target="https://him-auto.ru/pylesosy-pylevodososy-i-zapasnye-chasti/moyushchij-pylesos-tornado-700-inox/" TargetMode="External"/><Relationship Id="rId_hyperlink_264" Type="http://schemas.openxmlformats.org/officeDocument/2006/relationships/hyperlink" Target="https://him-auto.ru/pylesosy-pylevodososy-i-zapasnye-chasti/moyushchij-pylesos-tornado-gamma-300/" TargetMode="External"/><Relationship Id="rId_hyperlink_265" Type="http://schemas.openxmlformats.org/officeDocument/2006/relationships/hyperlink" Target="https://him-auto.ru/pylesosy-pylevodososy-i-zapasnye-chasti/moyushchij-pylesos-tornado-gs262ext-ga/" TargetMode="External"/><Relationship Id="rId_hyperlink_266" Type="http://schemas.openxmlformats.org/officeDocument/2006/relationships/hyperlink" Target="https://him-auto.ru/pylesosy-pylevodososy-i-zapasnye-chasti/mufta-vsbore-200-idro/" TargetMode="External"/><Relationship Id="rId_hyperlink_267" Type="http://schemas.openxmlformats.org/officeDocument/2006/relationships/hyperlink" Target="https://him-auto.ru/pylesosy-pylevodososy-i-zapasnye-chasti/mufta-pylesosa-dlya-krepleniya-shlanga-d38/" TargetMode="External"/><Relationship Id="rId_hyperlink_268" Type="http://schemas.openxmlformats.org/officeDocument/2006/relationships/hyperlink" Target="https://him-auto.ru/pylesosy-pylevodososy-i-zapasnye-chasti/mufta-soed-pylesos-shlang-himchistka-38mm-diametr/" TargetMode="External"/><Relationship Id="rId_hyperlink_269" Type="http://schemas.openxmlformats.org/officeDocument/2006/relationships/hyperlink" Target="https://him-auto.ru/pylesosy-pylevodososy-i-zapasnye-chasti/mufta-soed-pylesos-shlang-38mm-diametr/" TargetMode="External"/><Relationship Id="rId_hyperlink_270" Type="http://schemas.openxmlformats.org/officeDocument/2006/relationships/hyperlink" Target="https://him-auto.ru/pylesosy-pylevodososy-i-zapasnye-chasti/mufta-soed-shlang-nasadka-himchistka-38mm-diametr/" TargetMode="External"/><Relationship Id="rId_hyperlink_271" Type="http://schemas.openxmlformats.org/officeDocument/2006/relationships/hyperlink" Target="https://him-auto.ru/pylesosy-pylevodososy-i-zapasnye-chasti/mufta-soed-shlang-shlang-36mm-diametr/" TargetMode="External"/><Relationship Id="rId_hyperlink_272" Type="http://schemas.openxmlformats.org/officeDocument/2006/relationships/hyperlink" Target="https://him-auto.ru/pylesosy-pylevodososy-i-zapasnye-chasti/mufta-soed-shlang-shlang-38mm-diametr/" TargetMode="External"/><Relationship Id="rId_hyperlink_273" Type="http://schemas.openxmlformats.org/officeDocument/2006/relationships/hyperlink" Target="https://him-auto.ru/pylesosy-pylevodososy-i-zapasnye-chasti/mufta-soed-vrashchayushchayasya-shlang-nasadka-38mm-diametr/" TargetMode="External"/><Relationship Id="rId_hyperlink_274" Type="http://schemas.openxmlformats.org/officeDocument/2006/relationships/hyperlink" Target="https://him-auto.ru/pylesosy-pylevodososy-i-zapasnye-chasti/mufta-soedpylesos-shlang-36mm-diametr/" TargetMode="External"/><Relationship Id="rId_hyperlink_275" Type="http://schemas.openxmlformats.org/officeDocument/2006/relationships/hyperlink" Target="https://him-auto.ru/pylesosy-pylevodososy-i-zapasnye-chasti/mufta-soedpylesos-shlang-36mm-diametr/?sku=155005" TargetMode="External"/><Relationship Id="rId_hyperlink_276" Type="http://schemas.openxmlformats.org/officeDocument/2006/relationships/hyperlink" Target="https://him-auto.ru/pylesosy-pylevodososy-i-zapasnye-chasti/mufta-soedshlang-nasadka-36mm-diametr/" TargetMode="External"/><Relationship Id="rId_hyperlink_277" Type="http://schemas.openxmlformats.org/officeDocument/2006/relationships/hyperlink" Target="https://him-auto.ru/pylesosy-pylevodososy-i-zapasnye-chasti/mufta-soedshlang-nasadka-38mm-diametr/" TargetMode="External"/><Relationship Id="rId_hyperlink_278" Type="http://schemas.openxmlformats.org/officeDocument/2006/relationships/hyperlink" Target="https://him-auto.ru/pylesosy-pylevodososy-i-zapasnye-chasti/mufta-soedinitelnaya-d36/" TargetMode="External"/><Relationship Id="rId_hyperlink_279" Type="http://schemas.openxmlformats.org/officeDocument/2006/relationships/hyperlink" Target="https://him-auto.ru/pylesosy-pylevodososy-i-zapasnye-chasti/mufta-soedinitelnaya-d38-00047/" TargetMode="External"/><Relationship Id="rId_hyperlink_280" Type="http://schemas.openxmlformats.org/officeDocument/2006/relationships/hyperlink" Target="https://him-auto.ru/pylesosy-pylevodososy-i-zapasnye-chasti/mufta-soedinitelnaya-shlanga-nasadka-d36-00622/" TargetMode="External"/><Relationship Id="rId_hyperlink_281" Type="http://schemas.openxmlformats.org/officeDocument/2006/relationships/hyperlink" Target="https://him-auto.ru/pylesosy-pylevodososy-i-zapasnye-chasti/mufta-soedinitelnaya-shlanga-nasadka-d38-00083/" TargetMode="External"/><Relationship Id="rId_hyperlink_282" Type="http://schemas.openxmlformats.org/officeDocument/2006/relationships/hyperlink" Target="https://him-auto.ru/pylesosy-pylevodososy-i-zapasnye-chasti/mufta-soedinitelnaya-shlanga-pylesos-d36-00090bl/" TargetMode="External"/><Relationship Id="rId_hyperlink_283" Type="http://schemas.openxmlformats.org/officeDocument/2006/relationships/hyperlink" Target="https://him-auto.ru/pylesosy-pylevodososy-i-zapasnye-chasti/mufta-soedinitelnaya-shlanga-pylesos-d38-00084-or/" TargetMode="External"/><Relationship Id="rId_hyperlink_284" Type="http://schemas.openxmlformats.org/officeDocument/2006/relationships/hyperlink" Target="https://him-auto.ru/pylesosy-pylevodososy-i-zapasnye-chasti/nabor-dlya-suhoj-uborki-tornado-300/" TargetMode="External"/><Relationship Id="rId_hyperlink_285" Type="http://schemas.openxmlformats.org/officeDocument/2006/relationships/hyperlink" Target="https://him-auto.ru/pylesosy-pylevodososy-i-zapasnye-chasti/nakonechnik-na-shlangd40-03928/" TargetMode="External"/><Relationship Id="rId_hyperlink_286" Type="http://schemas.openxmlformats.org/officeDocument/2006/relationships/hyperlink" Target="https://him-auto.ru/pylesosy-pylevodososy-i-zapasnye-chasti/nakonechnik-ukomplektovannyj-shlangom-&#248;-25-8-m-dlya-sliva-zhidkostej/" TargetMode="External"/><Relationship Id="rId_hyperlink_287" Type="http://schemas.openxmlformats.org/officeDocument/2006/relationships/hyperlink" Target="https://him-auto.ru/pylesosy-pylevodososy-i-zapasnye-chasti/nasadka-50mm-diametr/" TargetMode="External"/><Relationship Id="rId_hyperlink_288" Type="http://schemas.openxmlformats.org/officeDocument/2006/relationships/hyperlink" Target="https://him-auto.ru/pylesosy-pylevodososy-i-zapasnye-chasti/nasadka-adapter-dlya-ehlektroinstrumenta-132-mm/" TargetMode="External"/><Relationship Id="rId_hyperlink_289" Type="http://schemas.openxmlformats.org/officeDocument/2006/relationships/hyperlink" Target="https://him-auto.ru/pylesosy-pylevodososy-i-zapasnye-chasti/nasadka-vlazhnaya-uborka-balka-vsasyvayushchaya-38mm-diametr/" TargetMode="External"/><Relationship Id="rId_hyperlink_290" Type="http://schemas.openxmlformats.org/officeDocument/2006/relationships/hyperlink" Target="https://him-auto.ru/pylesosy-pylevodososy-i-zapasnye-chasti/nasadka-dlya-myagkoj-mebeli-dlya-moyushchego-pylesosa-gp-20/" TargetMode="External"/><Relationship Id="rId_hyperlink_291" Type="http://schemas.openxmlformats.org/officeDocument/2006/relationships/hyperlink" Target="https://him-auto.ru/pylesosy-pylevodososy-i-zapasnye-chasti/nasadka-dlya-mebeli-s-raspylitelem-dlya-jupiter/" TargetMode="External"/><Relationship Id="rId_hyperlink_292" Type="http://schemas.openxmlformats.org/officeDocument/2006/relationships/hyperlink" Target="https://him-auto.ru/pylesosy-pylevodososy-i-zapasnye-chasti/nasadka-dlya-mebeli-shirina-140-mm-&#248;-35/" TargetMode="External"/><Relationship Id="rId_hyperlink_293" Type="http://schemas.openxmlformats.org/officeDocument/2006/relationships/hyperlink" Target="https://him-auto.ru/pylesosy-pylevodososy-i-zapasnye-chasti/nasadka-dlya-napolnyh-pokrytij/" TargetMode="External"/><Relationship Id="rId_hyperlink_294" Type="http://schemas.openxmlformats.org/officeDocument/2006/relationships/hyperlink" Target="https://him-auto.ru/pylesosy-pylevodososy-i-zapasnye-chasti/nasadka-dlya-obivki-d36-06174/" TargetMode="External"/><Relationship Id="rId_hyperlink_295" Type="http://schemas.openxmlformats.org/officeDocument/2006/relationships/hyperlink" Target="https://him-auto.ru/pylesosy-pylevodososy-i-zapasnye-chasti/nasadka-dlya-obivki-00752ott/" TargetMode="External"/><Relationship Id="rId_hyperlink_296" Type="http://schemas.openxmlformats.org/officeDocument/2006/relationships/hyperlink" Target="https://him-auto.ru/pylesosy-pylevodososy-i-zapasnye-chasti/nasadka-dlya-podklyucheniya-ehlinstrumenta-k-504/" TargetMode="External"/><Relationship Id="rId_hyperlink_297" Type="http://schemas.openxmlformats.org/officeDocument/2006/relationships/hyperlink" Target="https://him-auto.ru/pylesosy-pylevodososy-i-zapasnye-chasti/nasadka-dlya-pola-dlya-fox/" TargetMode="External"/><Relationship Id="rId_hyperlink_298" Type="http://schemas.openxmlformats.org/officeDocument/2006/relationships/hyperlink" Target="https://him-auto.ru/pylesosy-pylevodososy-i-zapasnye-chasti/nasadka-dlya-pola-dlya-yvo-shchetinasgony/" TargetMode="External"/><Relationship Id="rId_hyperlink_299" Type="http://schemas.openxmlformats.org/officeDocument/2006/relationships/hyperlink" Target="https://him-auto.ru/pylesosy-pylevodososy-i-zapasnye-chasti/nasadka-dlya-polahimchistki-bez-kurka-s-shlangom-dlya-himii-36mm/" TargetMode="External"/><Relationship Id="rId_hyperlink_300" Type="http://schemas.openxmlformats.org/officeDocument/2006/relationships/hyperlink" Target="https://him-auto.ru/pylesosy-pylevodososy-i-zapasnye-chasti/nasadka-dlya-polahimchistki-nabor-trubka-izognutaya-trubka-izognutaya-s-kurkom-pryamaya-trubka-nasadka-s-shlangom-dlya-himii-styazhki-rezinovye-36mm/" TargetMode="External"/><Relationship Id="rId_hyperlink_301" Type="http://schemas.openxmlformats.org/officeDocument/2006/relationships/hyperlink" Target="https://him-auto.ru/pylesosy-pylevodososy-i-zapasnye-chasti/nasadka-dlya-polahimchistki-36mm-diametr/" TargetMode="External"/><Relationship Id="rId_hyperlink_302" Type="http://schemas.openxmlformats.org/officeDocument/2006/relationships/hyperlink" Target="https://him-auto.ru/pylesosy-pylevodososy-i-zapasnye-chasti/nasadka-dlya-polahimchistki-38mm-diametr/" TargetMode="External"/><Relationship Id="rId_hyperlink_303" Type="http://schemas.openxmlformats.org/officeDocument/2006/relationships/hyperlink" Target="https://him-auto.ru/pylesosy-pylevodososy-i-zapasnye-chasti/nasadka-dlya-sbora-vlagi-&#248;-35/" TargetMode="External"/><Relationship Id="rId_hyperlink_304" Type="http://schemas.openxmlformats.org/officeDocument/2006/relationships/hyperlink" Target="https://him-auto.ru/pylesosy-pylevodososy-i-zapasnye-chasti/nasadka-dlya-sbora-vlagi-dlina-43sm-d40mm/" TargetMode="External"/><Relationship Id="rId_hyperlink_305" Type="http://schemas.openxmlformats.org/officeDocument/2006/relationships/hyperlink" Target="https://him-auto.ru/pylesosy-pylevodososy-i-zapasnye-chasti/nasadka-dlya-sbora-zagryaznenij-s-tremya-vstavkami-&#248;-35/" TargetMode="External"/><Relationship Id="rId_hyperlink_306" Type="http://schemas.openxmlformats.org/officeDocument/2006/relationships/hyperlink" Target="https://him-auto.ru/pylesosy-pylevodososy-i-zapasnye-chasti/nasadka-dlya-sbora-pyli-39-sm-d40mm/" TargetMode="External"/><Relationship Id="rId_hyperlink_307" Type="http://schemas.openxmlformats.org/officeDocument/2006/relationships/hyperlink" Target="https://him-auto.ru/pylesosy-pylevodososy-i-zapasnye-chasti/nasadka-dlya-sbora-pyli-l-300-mm-&#248;-35/" TargetMode="External"/><Relationship Id="rId_hyperlink_308" Type="http://schemas.openxmlformats.org/officeDocument/2006/relationships/hyperlink" Target="https://him-auto.ru/pylesosy-pylevodososy-i-zapasnye-chasti/nasadka-dlya-sbora-pyli-l-400-mm-&#248;-40-bez-shchetok-i-styazhek/" TargetMode="External"/><Relationship Id="rId_hyperlink_309" Type="http://schemas.openxmlformats.org/officeDocument/2006/relationships/hyperlink" Target="https://him-auto.ru/pylesosy-pylevodososy-i-zapasnye-chasti/nasadka-dlya-sbora-pyli-iz-nerzhaveyushchej-stali-&#248;-50/" TargetMode="External"/><Relationship Id="rId_hyperlink_310" Type="http://schemas.openxmlformats.org/officeDocument/2006/relationships/hyperlink" Target="https://him-auto.ru/pylesosy-pylevodososy-i-zapasnye-chasti/nasadka-dlya-sbora-pyli-shirokaya-dlya-polovkovrov-s-pereklyuchatelem-i-kolesami-&#248;-35/" TargetMode="External"/><Relationship Id="rId_hyperlink_311" Type="http://schemas.openxmlformats.org/officeDocument/2006/relationships/hyperlink" Target="https://him-auto.ru/pylesosy-pylevodososy-i-zapasnye-chasti/nasadka-dlya-sbora-pyli-shirokaya-s-pereklyuchatelem-dlya-polovkovrov-bez-koles-&#248;-35/" TargetMode="External"/><Relationship Id="rId_hyperlink_312" Type="http://schemas.openxmlformats.org/officeDocument/2006/relationships/hyperlink" Target="https://him-auto.ru/pylesosy-pylevodososy-i-zapasnye-chasti/nasadka-dlya-sbora-pyli-shirokaya-s-pereklyuchatelem-na-kolesah-l-300-mm-&#248;-35/" TargetMode="External"/><Relationship Id="rId_hyperlink_313" Type="http://schemas.openxmlformats.org/officeDocument/2006/relationships/hyperlink" Target="https://him-auto.ru/pylesosy-pylevodososy-i-zapasnye-chasti/nasadka-dlya-sbora-pyli-d40mm/" TargetMode="External"/><Relationship Id="rId_hyperlink_314" Type="http://schemas.openxmlformats.org/officeDocument/2006/relationships/hyperlink" Target="https://him-auto.ru/pylesosy-pylevodososy-i-zapasnye-chasti/nasadka-dlya-sbora-pyli-d40mm/?sku=160538" TargetMode="External"/><Relationship Id="rId_hyperlink_315" Type="http://schemas.openxmlformats.org/officeDocument/2006/relationships/hyperlink" Target="https://him-auto.ru/pylesosy-pylevodososy-i-zapasnye-chasti/nasadka-dlya-himchistki-&#248;-40/" TargetMode="External"/><Relationship Id="rId_hyperlink_316" Type="http://schemas.openxmlformats.org/officeDocument/2006/relationships/hyperlink" Target="https://him-auto.ru/pylesosy-pylevodososy-i-zapasnye-chasti/nasadka-dlya-chistki-kovrovyh-pokrytij-s-forsunkoj-02706/" TargetMode="External"/><Relationship Id="rId_hyperlink_317" Type="http://schemas.openxmlformats.org/officeDocument/2006/relationships/hyperlink" Target="https://him-auto.ru/pylesosy-pylevodososy-i-zapasnye-chasti/nasadka-dlya-shchetki-i-rezinovyh-styazhek-&#248;-35/" TargetMode="External"/><Relationship Id="rId_hyperlink_318" Type="http://schemas.openxmlformats.org/officeDocument/2006/relationships/hyperlink" Target="https://him-auto.ru/pylesosy-pylevodososy-i-zapasnye-chasti/nasadka-kover-pol-d36-00632/" TargetMode="External"/><Relationship Id="rId_hyperlink_319" Type="http://schemas.openxmlformats.org/officeDocument/2006/relationships/hyperlink" Target="https://him-auto.ru/pylesosy-pylevodososy-i-zapasnye-chasti/nasadka-konnektor-uglovaya-s-kurkom-dlya-himii/" TargetMode="External"/><Relationship Id="rId_hyperlink_320" Type="http://schemas.openxmlformats.org/officeDocument/2006/relationships/hyperlink" Target="https://him-auto.ru/pylesosy-pylevodososy-i-zapasnye-chasti/nasadka-konnektor-uglovaya-s-kurkom-dlya-himii-200-200-idro/" TargetMode="External"/><Relationship Id="rId_hyperlink_321" Type="http://schemas.openxmlformats.org/officeDocument/2006/relationships/hyperlink" Target="https://him-auto.ru/pylesosy-pylevodososy-i-zapasnye-chasti/nasadka-kruglaya-d36-00004/" TargetMode="External"/><Relationship Id="rId_hyperlink_322" Type="http://schemas.openxmlformats.org/officeDocument/2006/relationships/hyperlink" Target="https://him-auto.ru/pylesosy-pylevodososy-i-zapasnye-chasti/nasadka-kruglaya-d38-06295/" TargetMode="External"/><Relationship Id="rId_hyperlink_323" Type="http://schemas.openxmlformats.org/officeDocument/2006/relationships/hyperlink" Target="https://him-auto.ru/pylesosy-pylevodososy-i-zapasnye-chasti/nasadka-kruglaya-s-vorsom-&#248;-35/" TargetMode="External"/><Relationship Id="rId_hyperlink_324" Type="http://schemas.openxmlformats.org/officeDocument/2006/relationships/hyperlink" Target="https://him-auto.ru/pylesosy-pylevodososy-i-zapasnye-chasti/nasadka-kruglaya-s-vorsom-&#248;-40/" TargetMode="External"/><Relationship Id="rId_hyperlink_325" Type="http://schemas.openxmlformats.org/officeDocument/2006/relationships/hyperlink" Target="https://him-auto.ru/pylesosy-pylevodososy-i-zapasnye-chasti/nasadka-kruglaya-s-vorsom-i-s-ocinkovannym-patrubkom-&#248;-50/" TargetMode="External"/><Relationship Id="rId_hyperlink_326" Type="http://schemas.openxmlformats.org/officeDocument/2006/relationships/hyperlink" Target="https://him-auto.ru/pylesosy-pylevodososy-i-zapasnye-chasti/nasadka-kruglaya-s-shchetinoj-d40mm/" TargetMode="External"/><Relationship Id="rId_hyperlink_327" Type="http://schemas.openxmlformats.org/officeDocument/2006/relationships/hyperlink" Target="https://him-auto.ru/pylesosy-pylevodososy-i-zapasnye-chasti/nasadka-kruglaya-so-stalnym-vorsom-&#248;-35/" TargetMode="External"/><Relationship Id="rId_hyperlink_328" Type="http://schemas.openxmlformats.org/officeDocument/2006/relationships/hyperlink" Target="https://him-auto.ru/pylesosy-pylevodososy-i-zapasnye-chasti/nasadka-malaya-d36/" TargetMode="External"/><Relationship Id="rId_hyperlink_329" Type="http://schemas.openxmlformats.org/officeDocument/2006/relationships/hyperlink" Target="https://him-auto.ru/pylesosy-pylevodososy-i-zapasnye-chasti/nasadka-mebelnaya-dlya-yvo-36mm-diametr/" TargetMode="External"/><Relationship Id="rId_hyperlink_330" Type="http://schemas.openxmlformats.org/officeDocument/2006/relationships/hyperlink" Target="https://him-auto.ru/pylesosy-pylevodososy-i-zapasnye-chasti/nasadka-mebelnaya-36mm-diametr/" TargetMode="External"/><Relationship Id="rId_hyperlink_331" Type="http://schemas.openxmlformats.org/officeDocument/2006/relationships/hyperlink" Target="https://him-auto.ru/pylesosy-pylevodososy-i-zapasnye-chasti/nasadka-moyushchaya-dlya-pola/" TargetMode="External"/><Relationship Id="rId_hyperlink_332" Type="http://schemas.openxmlformats.org/officeDocument/2006/relationships/hyperlink" Target="https://him-auto.ru/pylesosy-pylevodososy-i-zapasnye-chasti/nasadka-ovalnaya-d36-plastik/" TargetMode="External"/><Relationship Id="rId_hyperlink_333" Type="http://schemas.openxmlformats.org/officeDocument/2006/relationships/hyperlink" Target="https://him-auto.ru/pylesosy-pylevodososy-i-zapasnye-chasti/nasadka-polovaya-vlazhnaya-uborka-dlya-himchistki-38mm/" TargetMode="External"/><Relationship Id="rId_hyperlink_334" Type="http://schemas.openxmlformats.org/officeDocument/2006/relationships/hyperlink" Target="https://him-auto.ru/pylesosy-pylevodososy-i-zapasnye-chasti/nasadka-ruchnaya-vlazhnaya-uborka-dlya-himchistki-bez-kurka-i-shlanga-dlya-himii-36mm/" TargetMode="External"/><Relationship Id="rId_hyperlink_335" Type="http://schemas.openxmlformats.org/officeDocument/2006/relationships/hyperlink" Target="https://him-auto.ru/pylesosy-pylevodososy-i-zapasnye-chasti/nasadka-ruchnaya-vlazhnaya-uborka-dlya-himchistki-s-shlangom-dlya-himii-36mm/" TargetMode="External"/><Relationship Id="rId_hyperlink_336" Type="http://schemas.openxmlformats.org/officeDocument/2006/relationships/hyperlink" Target="https://him-auto.ru/pylesosy-pylevodososy-i-zapasnye-chasti/nasadka-ruchnaya-vlazhnaya-uborka-dlya-himchistki-v-sbore-36mm/" TargetMode="External"/><Relationship Id="rId_hyperlink_337" Type="http://schemas.openxmlformats.org/officeDocument/2006/relationships/hyperlink" Target="https://him-auto.ru/pylesosy-pylevodososy-i-zapasnye-chasti/nasadka-s-izgibom-dlya-sbora-vlagi-d36-02720/" TargetMode="External"/><Relationship Id="rId_hyperlink_338" Type="http://schemas.openxmlformats.org/officeDocument/2006/relationships/hyperlink" Target="https://him-auto.ru/pylesosy-pylevodososy-i-zapasnye-chasti/nasadka-s-izgibom-dlya-sbora-vlagi-l-400-mm-d38-06385/" TargetMode="External"/><Relationship Id="rId_hyperlink_339" Type="http://schemas.openxmlformats.org/officeDocument/2006/relationships/hyperlink" Target="https://him-auto.ru/pylesosy-pylevodososy-i-zapasnye-chasti/nasadka-s-izgibom-dlya-sbora-pyli-l-400-mm-d38-06384/" TargetMode="External"/><Relationship Id="rId_hyperlink_340" Type="http://schemas.openxmlformats.org/officeDocument/2006/relationships/hyperlink" Target="https://him-auto.ru/pylesosy-pylevodososy-i-zapasnye-chasti/nasadka-suhaya-uborka-balka-vsasyvayushchaya-38mm-diametr/" TargetMode="External"/><Relationship Id="rId_hyperlink_341" Type="http://schemas.openxmlformats.org/officeDocument/2006/relationships/hyperlink" Target="https://him-auto.ru/pylesosy-pylevodososy-i-zapasnye-chasti/nasadka-shchelevaya-metall-38mm-diametr/" TargetMode="External"/><Relationship Id="rId_hyperlink_342" Type="http://schemas.openxmlformats.org/officeDocument/2006/relationships/hyperlink" Target="https://him-auto.ru/pylesosy-pylevodososy-i-zapasnye-chasti/nasadka-shchelevaya-40-mm-x-420-mm-s-zashchitoj-dn-38/" TargetMode="External"/><Relationship Id="rId_hyperlink_343" Type="http://schemas.openxmlformats.org/officeDocument/2006/relationships/hyperlink" Target="https://him-auto.ru/pylesosy-pylevodososy-i-zapasnye-chasti/nasadka-shchelevaya-40-mm-x-420-mm-dn-38/" TargetMode="External"/><Relationship Id="rId_hyperlink_344" Type="http://schemas.openxmlformats.org/officeDocument/2006/relationships/hyperlink" Target="https://him-auto.ru/pylesosy-pylevodososy-i-zapasnye-chasti/nasadka-shchelevaya-d40mm/" TargetMode="External"/><Relationship Id="rId_hyperlink_345" Type="http://schemas.openxmlformats.org/officeDocument/2006/relationships/hyperlink" Target="https://him-auto.ru/pylesosy-pylevodososy-i-zapasnye-chasti/nasadka-shchelevaya-dlya-planet-152-50mm-diametr/" TargetMode="External"/><Relationship Id="rId_hyperlink_346" Type="http://schemas.openxmlformats.org/officeDocument/2006/relationships/hyperlink" Target="https://him-auto.ru/pylesosy-pylevodososy-i-zapasnye-chasti/nasadka-shchelevaya-dlya-yvo-36mm-diametr/" TargetMode="External"/><Relationship Id="rId_hyperlink_347" Type="http://schemas.openxmlformats.org/officeDocument/2006/relationships/hyperlink" Target="https://him-auto.ru/pylesosy-pylevodososy-i-zapasnye-chasti/nasadka-shchelevaya-s-krugloj-shchetkoj-dlya-fox/" TargetMode="External"/><Relationship Id="rId_hyperlink_348" Type="http://schemas.openxmlformats.org/officeDocument/2006/relationships/hyperlink" Target="https://him-auto.ru/pylesosy-pylevodososy-i-zapasnye-chasti/nasadka-shchelevaya-udlinennaya-l350-d45-mm-d40/" TargetMode="External"/><Relationship Id="rId_hyperlink_349" Type="http://schemas.openxmlformats.org/officeDocument/2006/relationships/hyperlink" Target="https://him-auto.ru/pylesosy-pylevodososy-i-zapasnye-chasti/nasadka-shchelevaya-uzkaya-d36-00617/" TargetMode="External"/><Relationship Id="rId_hyperlink_350" Type="http://schemas.openxmlformats.org/officeDocument/2006/relationships/hyperlink" Target="https://him-auto.ru/pylesosy-pylevodososy-i-zapasnye-chasti/nasadka-shchelevaya-hromirovannaya-d38-02296/" TargetMode="External"/><Relationship Id="rId_hyperlink_351" Type="http://schemas.openxmlformats.org/officeDocument/2006/relationships/hyperlink" Target="https://him-auto.ru/pylesosy-pylevodososy-i-zapasnye-chasti/nasadka-shchelevaya-shirokaya-d38-00003/" TargetMode="External"/><Relationship Id="rId_hyperlink_352" Type="http://schemas.openxmlformats.org/officeDocument/2006/relationships/hyperlink" Target="https://him-auto.ru/pylesosy-pylevodososy-i-zapasnye-chasti/nasadka-shchelevaya-36mm-diametr/" TargetMode="External"/><Relationship Id="rId_hyperlink_353" Type="http://schemas.openxmlformats.org/officeDocument/2006/relationships/hyperlink" Target="https://him-auto.ru/pylesosy-pylevodososy-i-zapasnye-chasti/nasadka-shchelevaya-38mm-diametr/" TargetMode="External"/><Relationship Id="rId_hyperlink_354" Type="http://schemas.openxmlformats.org/officeDocument/2006/relationships/hyperlink" Target="https://him-auto.ru/pylesosy-pylevodososy-i-zapasnye-chasti/nasadka-shchelevaya-58mm-diametr/" TargetMode="External"/><Relationship Id="rId_hyperlink_355" Type="http://schemas.openxmlformats.org/officeDocument/2006/relationships/hyperlink" Target="https://him-auto.ru/pylesosy-pylevodososy-i-zapasnye-chasti/nasadka-shchelevaya-d-36mm/" TargetMode="External"/><Relationship Id="rId_hyperlink_356" Type="http://schemas.openxmlformats.org/officeDocument/2006/relationships/hyperlink" Target="https://him-auto.ru/pylesosy-pylevodososy-i-zapasnye-chasti/nasadka-shchelevaya-d-40mm/" TargetMode="External"/><Relationship Id="rId_hyperlink_357" Type="http://schemas.openxmlformats.org/officeDocument/2006/relationships/hyperlink" Target="https://him-auto.ru/pylesosy-pylevodososy-i-zapasnye-chasti/nasadka-shchelevaya-d-50mm/" TargetMode="External"/><Relationship Id="rId_hyperlink_358" Type="http://schemas.openxmlformats.org/officeDocument/2006/relationships/hyperlink" Target="https://him-auto.ru/pylesosy-pylevodososy-i-zapasnye-chasti/nasadkadlya-polahimchistki-s-shlangom-dlya-himii-styazhkoj-i-shchetkoj-na-nasadke-36mm/" TargetMode="External"/><Relationship Id="rId_hyperlink_359" Type="http://schemas.openxmlformats.org/officeDocument/2006/relationships/hyperlink" Target="https://him-auto.ru/pylesosy-pylevodososy-i-zapasnye-chasti/nasos-podachi-himii-s-krepleniem/" TargetMode="External"/><Relationship Id="rId_hyperlink_360" Type="http://schemas.openxmlformats.org/officeDocument/2006/relationships/hyperlink" Target="https://him-auto.ru/pylesosy-pylevodososy-i-zapasnye-chasti/nera-filtr-dlya-pylesosa-215503-justo/" TargetMode="External"/><Relationship Id="rId_hyperlink_361" Type="http://schemas.openxmlformats.org/officeDocument/2006/relationships/hyperlink" Target="https://him-auto.ru/pylesosy-pylevodososy-i-zapasnye-chasti/nizhnyaya-chast-golovy-200-200-idro/" TargetMode="External"/><Relationship Id="rId_hyperlink_362" Type="http://schemas.openxmlformats.org/officeDocument/2006/relationships/hyperlink" Target="https://him-auto.ru/pylesosy-pylevodososy-i-zapasnye-chasti/nizhnyaya-chast-golovy-503/" TargetMode="External"/><Relationship Id="rId_hyperlink_363" Type="http://schemas.openxmlformats.org/officeDocument/2006/relationships/hyperlink" Target="https://him-auto.ru/pylesosy-pylevodososy-i-zapasnye-chasti/nizhnyaya-chast-golovy-panda-429-440/" TargetMode="External"/><Relationship Id="rId_hyperlink_364" Type="http://schemas.openxmlformats.org/officeDocument/2006/relationships/hyperlink" Target="https://him-auto.ru/pylesosy-pylevodososy-i-zapasnye-chasti/nizhnyaya-chast-golovy-pylesosa-433-633/" TargetMode="External"/><Relationship Id="rId_hyperlink_365" Type="http://schemas.openxmlformats.org/officeDocument/2006/relationships/hyperlink" Target="https://him-auto.ru/pylesosy-pylevodososy-i-zapasnye-chasti/odnofaznye-pylesosy-rgs/" TargetMode="External"/><Relationship Id="rId_hyperlink_366" Type="http://schemas.openxmlformats.org/officeDocument/2006/relationships/hyperlink" Target="https://him-auto.ru/pylesosy-pylevodososy-i-zapasnye-chasti/okrashennyj-bak-100-l-ukomplektovannyj-kolesami-ruchkoj-i-urovnem-zapolneniya-baka/" TargetMode="External"/><Relationship Id="rId_hyperlink_367" Type="http://schemas.openxmlformats.org/officeDocument/2006/relationships/hyperlink" Target="https://him-auto.ru/pylesosy-pylevodososy-i-zapasnye-chasti/osnovanie-215-300-503/" TargetMode="External"/><Relationship Id="rId_hyperlink_368" Type="http://schemas.openxmlformats.org/officeDocument/2006/relationships/hyperlink" Target="https://him-auto.ru/pylesosy-pylevodososy-i-zapasnye-chasti/osnovanie-423-429-433/" TargetMode="External"/><Relationship Id="rId_hyperlink_369" Type="http://schemas.openxmlformats.org/officeDocument/2006/relationships/hyperlink" Target="https://him-auto.ru/pylesosy-pylevodososy-i-zapasnye-chasti/osnovanie-623-633/" TargetMode="External"/><Relationship Id="rId_hyperlink_370" Type="http://schemas.openxmlformats.org/officeDocument/2006/relationships/hyperlink" Target="https://him-auto.ru/pylesosy-pylevodososy-i-zapasnye-chasti/osnovanie-v-sbore-s-kolesami-215-300-503/" TargetMode="External"/><Relationship Id="rId_hyperlink_371" Type="http://schemas.openxmlformats.org/officeDocument/2006/relationships/hyperlink" Target="https://him-auto.ru/pylesosy-pylevodososy-i-zapasnye-chasti/osnovanie-v-sbore-s-kolesami-423-429-433/" TargetMode="External"/><Relationship Id="rId_hyperlink_372" Type="http://schemas.openxmlformats.org/officeDocument/2006/relationships/hyperlink" Target="https://him-auto.ru/pylesosy-pylevodososy-i-zapasnye-chasti/osnovanie-v-sbore-s-kolesami-623-633/" TargetMode="External"/><Relationship Id="rId_hyperlink_373" Type="http://schemas.openxmlformats.org/officeDocument/2006/relationships/hyperlink" Target="https://him-auto.ru/pylesosy-pylevodososy-i-zapasnye-chasti/osnovanie-deflektora-200-idro/" TargetMode="External"/><Relationship Id="rId_hyperlink_374" Type="http://schemas.openxmlformats.org/officeDocument/2006/relationships/hyperlink" Target="https://him-auto.ru/pylesosy-pylevodososy-i-zapasnye-chasti/osnovanie-korzina-filtra-v-640-m/" TargetMode="External"/><Relationship Id="rId_hyperlink_375" Type="http://schemas.openxmlformats.org/officeDocument/2006/relationships/hyperlink" Target="https://him-auto.ru/pylesosy-pylevodososy-i-zapasnye-chasti/otbojnik-tornado-200-200-idro/" TargetMode="External"/><Relationship Id="rId_hyperlink_376" Type="http://schemas.openxmlformats.org/officeDocument/2006/relationships/hyperlink" Target="https://him-auto.ru/pylesosy-pylevodososy-i-zapasnye-chasti/paket-bumazhnyj-tornado-panda-215-515/" TargetMode="External"/><Relationship Id="rId_hyperlink_377" Type="http://schemas.openxmlformats.org/officeDocument/2006/relationships/hyperlink" Target="https://him-auto.ru/pylesosy-pylevodososy-i-zapasnye-chasti/paket-bumazhnyj-tornado-panda-423-429-433-623-629-633-640/" TargetMode="External"/><Relationship Id="rId_hyperlink_378" Type="http://schemas.openxmlformats.org/officeDocument/2006/relationships/hyperlink" Target="https://him-auto.ru/pylesosy-pylevodososy-i-zapasnye-chasti/paket-bumazhnyj-yp140020/" TargetMode="External"/><Relationship Id="rId_hyperlink_379" Type="http://schemas.openxmlformats.org/officeDocument/2006/relationships/hyperlink" Target="https://him-auto.ru/pylesosy-pylevodososy-i-zapasnye-chasti/paket-bumazhnyj-yp14006/" TargetMode="External"/><Relationship Id="rId_hyperlink_380" Type="http://schemas.openxmlformats.org/officeDocument/2006/relationships/hyperlink" Target="https://him-auto.ru/pylesosy-pylevodososy-i-zapasnye-chasti/paket-bumazhnyj-dlya-yvo-lp-112-eco/" TargetMode="External"/><Relationship Id="rId_hyperlink_381" Type="http://schemas.openxmlformats.org/officeDocument/2006/relationships/hyperlink" Target="https://him-auto.ru/pylesosy-pylevodososy-i-zapasnye-chasti/patrubok-konnektora-200-600-serij/" TargetMode="External"/><Relationship Id="rId_hyperlink_382" Type="http://schemas.openxmlformats.org/officeDocument/2006/relationships/hyperlink" Target="https://him-auto.ru/pylesosy-pylevodososy-i-zapasnye-chasti/penogasitel-200-idro/" TargetMode="External"/><Relationship Id="rId_hyperlink_383" Type="http://schemas.openxmlformats.org/officeDocument/2006/relationships/hyperlink" Target="https://him-auto.ru/pylesosy-pylevodososy-i-zapasnye-chasti/perednee-koleso-dlya-pylesosa-60-80l/" TargetMode="External"/><Relationship Id="rId_hyperlink_384" Type="http://schemas.openxmlformats.org/officeDocument/2006/relationships/hyperlink" Target="https://him-auto.ru/pylesosy-pylevodososy-i-zapasnye-chasti/perehodnik-14vnut-18vnut-tornado-200/" TargetMode="External"/><Relationship Id="rId_hyperlink_385" Type="http://schemas.openxmlformats.org/officeDocument/2006/relationships/hyperlink" Target="https://him-auto.ru/pylesosy-pylevodososy-i-zapasnye-chasti/perehodnik-dlya-nasadok-d38-06388/" TargetMode="External"/><Relationship Id="rId_hyperlink_386" Type="http://schemas.openxmlformats.org/officeDocument/2006/relationships/hyperlink" Target="https://him-auto.ru/pylesosy-pylevodososy-i-zapasnye-chasti/perehodnik-dlya-nasadok-38mm-diametr/" TargetMode="External"/><Relationship Id="rId_hyperlink_387" Type="http://schemas.openxmlformats.org/officeDocument/2006/relationships/hyperlink" Target="https://him-auto.ru/pylesosy-pylevodososy-i-zapasnye-chasti/perehodnik-pod-muftu-tornado-200/" TargetMode="External"/><Relationship Id="rId_hyperlink_388" Type="http://schemas.openxmlformats.org/officeDocument/2006/relationships/hyperlink" Target="https://him-auto.ru/pylesosy-pylevodososy-i-zapasnye-chasti/perehodnik-s-d38-d36-00006/" TargetMode="External"/><Relationship Id="rId_hyperlink_389" Type="http://schemas.openxmlformats.org/officeDocument/2006/relationships/hyperlink" Target="https://him-auto.ru/pylesosy-pylevodososy-i-zapasnye-chasti/perehodnik-uglovoj-tornado-200/" TargetMode="External"/><Relationship Id="rId_hyperlink_390" Type="http://schemas.openxmlformats.org/officeDocument/2006/relationships/hyperlink" Target="https://him-auto.ru/pylesosy-pylevodososy-i-zapasnye-chasti/perehodnik-uglovoj-tornado-200-idro/" TargetMode="External"/><Relationship Id="rId_hyperlink_391" Type="http://schemas.openxmlformats.org/officeDocument/2006/relationships/hyperlink" Target="https://him-auto.ru/pylesosy-pylevodososy-i-zapasnye-chasti/perehodnik-38-36mm-diametr/" TargetMode="External"/><Relationship Id="rId_hyperlink_392" Type="http://schemas.openxmlformats.org/officeDocument/2006/relationships/hyperlink" Target="https://him-auto.ru/pylesosy-pylevodososy-i-zapasnye-chasti/petlya-krepleniya-dlya-tornado-mark-600/" TargetMode="External"/><Relationship Id="rId_hyperlink_393" Type="http://schemas.openxmlformats.org/officeDocument/2006/relationships/hyperlink" Target="https://him-auto.ru/pylesosy-pylevodososy-i-zapasnye-chasti/plastikovaya-osnova-30-15/" TargetMode="External"/><Relationship Id="rId_hyperlink_394" Type="http://schemas.openxmlformats.org/officeDocument/2006/relationships/hyperlink" Target="https://him-auto.ru/pylesosy-pylevodososy-i-zapasnye-chasti/plastikovaya-osnova-s-ruchkoj-i-kolesami-70-l/" TargetMode="External"/><Relationship Id="rId_hyperlink_395" Type="http://schemas.openxmlformats.org/officeDocument/2006/relationships/hyperlink" Target="https://him-auto.ru/pylesosy-pylevodososy-i-zapasnye-chasti/plastikovyj-derzhatel-dlya-sinteponovogo-filtra/" TargetMode="External"/><Relationship Id="rId_hyperlink_396" Type="http://schemas.openxmlformats.org/officeDocument/2006/relationships/hyperlink" Target="https://him-auto.ru/pylesosy-pylevodososy-i-zapasnye-chasti/plata/" TargetMode="External"/><Relationship Id="rId_hyperlink_397" Type="http://schemas.openxmlformats.org/officeDocument/2006/relationships/hyperlink" Target="https://him-auto.ru/pylesosy-pylevodososy-i-zapasnye-chasti/plata-dlya-504-justo/" TargetMode="External"/><Relationship Id="rId_hyperlink_398" Type="http://schemas.openxmlformats.org/officeDocument/2006/relationships/hyperlink" Target="https://him-auto.ru/pylesosy-pylevodososy-i-zapasnye-chasti/plata-dlya-mark-600/" TargetMode="External"/><Relationship Id="rId_hyperlink_399" Type="http://schemas.openxmlformats.org/officeDocument/2006/relationships/hyperlink" Target="https://him-auto.ru/pylesosy-pylevodososy-i-zapasnye-chasti/plata-dlya-shake-tornado-503-2st/" TargetMode="External"/><Relationship Id="rId_hyperlink_400" Type="http://schemas.openxmlformats.org/officeDocument/2006/relationships/hyperlink" Target="https://him-auto.ru/pylesosy-pylevodososy-i-zapasnye-chasti/platforma-dlya-pylesosa-serii-exel/" TargetMode="External"/><Relationship Id="rId_hyperlink_401" Type="http://schemas.openxmlformats.org/officeDocument/2006/relationships/hyperlink" Target="https://him-auto.ru/pylesosy-pylevodososy-i-zapasnye-chasti/pompa-dlya-himchistki-200-200-idro-300/" TargetMode="External"/><Relationship Id="rId_hyperlink_402" Type="http://schemas.openxmlformats.org/officeDocument/2006/relationships/hyperlink" Target="https://him-auto.ru/pylesosy-pylevodososy-i-zapasnye-chasti/pompa-dlya-himchistki-tornado-700/" TargetMode="External"/><Relationship Id="rId_hyperlink_403" Type="http://schemas.openxmlformats.org/officeDocument/2006/relationships/hyperlink" Target="https://him-auto.ru/pylesosy-pylevodososy-i-zapasnye-chasti/pompa-dlya-himchistki-v-sbore-200-idro/" TargetMode="External"/><Relationship Id="rId_hyperlink_404" Type="http://schemas.openxmlformats.org/officeDocument/2006/relationships/hyperlink" Target="https://him-auto.ru/pylesosy-pylevodososy-i-zapasnye-chasti/pompa-dlya-himchistki-v-sbore-200-300/" TargetMode="External"/><Relationship Id="rId_hyperlink_405" Type="http://schemas.openxmlformats.org/officeDocument/2006/relationships/hyperlink" Target="https://him-auto.ru/pylesosy-pylevodososy-i-zapasnye-chasti/pressostat-tornado-700/" TargetMode="External"/><Relationship Id="rId_hyperlink_406" Type="http://schemas.openxmlformats.org/officeDocument/2006/relationships/hyperlink" Target="https://him-auto.ru/pylesosy-pylevodososy-i-zapasnye-chasti/prefiltr-nejlonovyj-cvp-cvc/" TargetMode="External"/><Relationship Id="rId_hyperlink_407" Type="http://schemas.openxmlformats.org/officeDocument/2006/relationships/hyperlink" Target="https://him-auto.ru/pylesosy-pylevodososy-i-zapasnye-chasti/provodyashchie-patrubki-dlya-shlanga-pvh-&#248;-50/" TargetMode="External"/><Relationship Id="rId_hyperlink_408" Type="http://schemas.openxmlformats.org/officeDocument/2006/relationships/hyperlink" Target="https://him-auto.ru/pylesosy-pylevodososy-i-zapasnye-chasti/prokladka-golovnoj-chasti-pylesosa-zamena-dlya-03180/" TargetMode="External"/><Relationship Id="rId_hyperlink_409" Type="http://schemas.openxmlformats.org/officeDocument/2006/relationships/hyperlink" Target="https://him-auto.ru/pylesosy-pylevodososy-i-zapasnye-chasti/prokladka-dlya-turbin-tornado/" TargetMode="External"/><Relationship Id="rId_hyperlink_410" Type="http://schemas.openxmlformats.org/officeDocument/2006/relationships/hyperlink" Target="https://him-auto.ru/pylesosy-pylevodososy-i-zapasnye-chasti/prokladka-dlya-turbin-tornado/?sku=154967" TargetMode="External"/><Relationship Id="rId_hyperlink_411" Type="http://schemas.openxmlformats.org/officeDocument/2006/relationships/hyperlink" Target="https://him-auto.ru/pylesosy-pylevodososy-i-zapasnye-chasti/prokladka-konnektora-pylesosa/" TargetMode="External"/><Relationship Id="rId_hyperlink_412" Type="http://schemas.openxmlformats.org/officeDocument/2006/relationships/hyperlink" Target="https://him-auto.ru/pylesosy-pylevodososy-i-zapasnye-chasti/promyshlennyj-kovrovyj-ehkstraktor-mec-clean-1-turb-27-l-bak-dlya-himii-62-l/" TargetMode="External"/><Relationship Id="rId_hyperlink_413" Type="http://schemas.openxmlformats.org/officeDocument/2006/relationships/hyperlink" Target="https://him-auto.ru/pylesosy-pylevodososy-i-zapasnye-chasti/promyshlennyj-pylesos-mec-wd-181-s-met-bak-1-turb-1500-vt-18-l-poln-kompl/" TargetMode="External"/><Relationship Id="rId_hyperlink_414" Type="http://schemas.openxmlformats.org/officeDocument/2006/relationships/hyperlink" Target="https://him-auto.ru/pylesosy-pylevodososy-i-zapasnye-chasti/prostavka-dlya-433-633/" TargetMode="External"/><Relationship Id="rId_hyperlink_415" Type="http://schemas.openxmlformats.org/officeDocument/2006/relationships/hyperlink" Target="https://him-auto.ru/pylesosy-pylevodososy-i-zapasnye-chasti/prostavka-dlya-tornado-200-idro/" TargetMode="External"/><Relationship Id="rId_hyperlink_416" Type="http://schemas.openxmlformats.org/officeDocument/2006/relationships/hyperlink" Target="https://him-auto.ru/pylesosy-pylevodososy-i-zapasnye-chasti/prostavka-zadnyaya-konnektora-pylesosa/" TargetMode="External"/><Relationship Id="rId_hyperlink_417" Type="http://schemas.openxmlformats.org/officeDocument/2006/relationships/hyperlink" Target="https://him-auto.ru/pylesosy-pylevodososy-i-zapasnye-chasti/prostavka-konnektora-pylesosa/" TargetMode="External"/><Relationship Id="rId_hyperlink_418" Type="http://schemas.openxmlformats.org/officeDocument/2006/relationships/hyperlink" Target="https://him-auto.ru/pylesosy-pylevodososy-i-zapasnye-chasti/prostavka-turbiny/" TargetMode="External"/><Relationship Id="rId_hyperlink_419" Type="http://schemas.openxmlformats.org/officeDocument/2006/relationships/hyperlink" Target="https://him-auto.ru/pylesosy-pylevodososy-i-zapasnye-chasti/pylevodosos-comet-windy-378-ir-3-turbiny-bak-78l-nerzh-220v-3600-vt/" TargetMode="External"/><Relationship Id="rId_hyperlink_420" Type="http://schemas.openxmlformats.org/officeDocument/2006/relationships/hyperlink" Target="https://him-auto.ru/pylesosy-pylevodososy-i-zapasnye-chasti/pylevodosos-esse-703/" TargetMode="External"/><Relationship Id="rId_hyperlink_421" Type="http://schemas.openxmlformats.org/officeDocument/2006/relationships/hyperlink" Target="https://him-auto.ru/pylesosy-pylevodososy-i-zapasnye-chasti/pylevodosos-new-comet-cvp-378-p-basic-220v-3600-vt-3-turbiny-bak-78l-plastik-shlangshchelevaya/" TargetMode="External"/><Relationship Id="rId_hyperlink_422" Type="http://schemas.openxmlformats.org/officeDocument/2006/relationships/hyperlink" Target="https://him-auto.ru/pylesosy-pylevodososy-i-zapasnye-chasti/pylevodosos-dlya-suhoj-i-vlazhnoj-uborki-3-turbiny-bak-60-l-220-v-3000-vt/" TargetMode="External"/><Relationship Id="rId_hyperlink_423" Type="http://schemas.openxmlformats.org/officeDocument/2006/relationships/hyperlink" Target="https://him-auto.ru/pylesosy-pylevodososy-i-zapasnye-chasti/pylevodosos-dlya-suhoj-i-vlazhnoj-uborki-kometa-1-turb-bak-30lnerzh1200vt-polnaya-komplektaciya/" TargetMode="External"/><Relationship Id="rId_hyperlink_424" Type="http://schemas.openxmlformats.org/officeDocument/2006/relationships/hyperlink" Target="https://him-auto.ru/pylesosy-pylevodososy-i-zapasnye-chasti/pylevodosos-industrialnyj-comet-cvi-a-1100-st-plus-1-turbina-bak-100l-nerzh-380v-5500-vt/" TargetMode="External"/><Relationship Id="rId_hyperlink_425" Type="http://schemas.openxmlformats.org/officeDocument/2006/relationships/hyperlink" Target="https://him-auto.ru/pylesosy-pylevodososy-i-zapasnye-chasti/pylevodosos-industrialnyj-comet-cvi-a-1100-st-klass-l-1-turbina-bak-80l-stal-380v-3000-vt/" TargetMode="External"/><Relationship Id="rId_hyperlink_426" Type="http://schemas.openxmlformats.org/officeDocument/2006/relationships/hyperlink" Target="https://him-auto.ru/pylesosy-pylevodososy-i-zapasnye-chasti/pylevodosos-industrialnyj-comet-cvi-a-1100-st-oil-1-turbina-bak-100l-stal-380v-3000-vt/" TargetMode="External"/><Relationship Id="rId_hyperlink_427" Type="http://schemas.openxmlformats.org/officeDocument/2006/relationships/hyperlink" Target="https://him-auto.ru/pylesosy-pylevodososy-i-zapasnye-chasti/pylevodosos-industrialnyj-comet-cvi-a-1100-xt-ex-atex-1-turbina-bak-100l-nerzh-380v-2600-vt/" TargetMode="External"/><Relationship Id="rId_hyperlink_428" Type="http://schemas.openxmlformats.org/officeDocument/2006/relationships/hyperlink" Target="https://him-auto.ru/pylesosy-pylevodososy-i-zapasnye-chasti/pylevodosos-industrialnyj-comet-cvi-a-180-x-1-turbina-bak-80l-nerzh-220v-2200-vt/" TargetMode="External"/><Relationship Id="rId_hyperlink_429" Type="http://schemas.openxmlformats.org/officeDocument/2006/relationships/hyperlink" Target="https://him-auto.ru/pylesosy-pylevodososy-i-zapasnye-chasti/pylevodosos-industrialnyj-comet-cvi-a-180-xt-1-turbina-bak-80l-nerzh-380v-3000-vt/" TargetMode="External"/><Relationship Id="rId_hyperlink_430" Type="http://schemas.openxmlformats.org/officeDocument/2006/relationships/hyperlink" Target="https://him-auto.ru/pylesosy-pylevodososy-i-zapasnye-chasti/pylevodosos-industrialnyj-comet-cvi-u-3100-s-3-turbiny-bak-100l-stal-220v-3600-vt/" TargetMode="External"/><Relationship Id="rId_hyperlink_431" Type="http://schemas.openxmlformats.org/officeDocument/2006/relationships/hyperlink" Target="https://him-auto.ru/pylesosy-pylevodososy-i-zapasnye-chasti/pylevodosos-industrialnyj-comet-cvi-u-380-x-ds-3-turbiny-bak-80l-nerzh-220v-3000-vt/" TargetMode="External"/><Relationship Id="rId_hyperlink_432" Type="http://schemas.openxmlformats.org/officeDocument/2006/relationships/hyperlink" Target="https://him-auto.ru/pylesosy-pylevodososy-i-zapasnye-chasti/pylevodosos-kometa-3-turb-bak-60l-nerzh-stal-220v-3000vt/" TargetMode="External"/><Relationship Id="rId_hyperlink_433" Type="http://schemas.openxmlformats.org/officeDocument/2006/relationships/hyperlink" Target="https://him-auto.ru/pylesosy-pylevodososy-i-zapasnye-chasti/pylevodosos-s-vozmozhnostyu-vyduva-vozduha-serii-zn2003-2-60l/" TargetMode="External"/><Relationship Id="rId_hyperlink_434" Type="http://schemas.openxmlformats.org/officeDocument/2006/relationships/hyperlink" Target="https://him-auto.ru/pylesosy-pylevodososy-i-zapasnye-chasti/pylevodosos-s-vozmozhnostyu-vyduva-vozduha-serii-zn2003-3-60l/" TargetMode="External"/><Relationship Id="rId_hyperlink_435" Type="http://schemas.openxmlformats.org/officeDocument/2006/relationships/hyperlink" Target="https://him-auto.ru/pylesosy-pylevodososy-i-zapasnye-chasti/pylevodosos-somet-cv-20-s-1-turbina-bak-20l-stal-220v-1200vt/" TargetMode="External"/><Relationship Id="rId_hyperlink_436" Type="http://schemas.openxmlformats.org/officeDocument/2006/relationships/hyperlink" Target="https://him-auto.ru/pylesosy-pylevodososy-i-zapasnye-chasti/pylevodosos-somet-cv-30-x-1-turbina-bak-30l-nerzh-220v-1600vt/" TargetMode="External"/><Relationship Id="rId_hyperlink_437" Type="http://schemas.openxmlformats.org/officeDocument/2006/relationships/hyperlink" Target="https://him-auto.ru/pylesosy-pylevodososy-i-zapasnye-chasti/pylevodosos-somet-cvp-120-p-1-turbina-bak-20l-plast-220v-1200vt/" TargetMode="External"/><Relationship Id="rId_hyperlink_438" Type="http://schemas.openxmlformats.org/officeDocument/2006/relationships/hyperlink" Target="https://him-auto.ru/pylesosy-pylevodososy-i-zapasnye-chasti/pylevodosos-somet-cvp-130-pem-klassm-bak-30l-plast-220v-1400vt-s-rozetkoj-dlya-instr/" TargetMode="External"/><Relationship Id="rId_hyperlink_439" Type="http://schemas.openxmlformats.org/officeDocument/2006/relationships/hyperlink" Target="https://him-auto.ru/pylesosy-pylevodososy-i-zapasnye-chasti/pylevodosos-somet-cvp-265-x-2-turbiny-bak-65l-nerzh-220v-2000vt/" TargetMode="External"/><Relationship Id="rId_hyperlink_440" Type="http://schemas.openxmlformats.org/officeDocument/2006/relationships/hyperlink" Target="https://him-auto.ru/pylesosy-pylevodososy-i-zapasnye-chasti/pylevodosos-somet-cvp-278-xbh-2-turbiny-bak-78l-nerzh-220v-2400vt/" TargetMode="External"/><Relationship Id="rId_hyperlink_441" Type="http://schemas.openxmlformats.org/officeDocument/2006/relationships/hyperlink" Target="https://him-auto.ru/pylesosy-pylevodososy-i-zapasnye-chasti/pylevodosos-somet-cvp-378-p-3-turbiny-bak-78l-plast-220v-3600vt/" TargetMode="External"/><Relationship Id="rId_hyperlink_442" Type="http://schemas.openxmlformats.org/officeDocument/2006/relationships/hyperlink" Target="https://him-auto.ru/pylesosy-pylevodososy-i-zapasnye-chasti/pylevodosos-somet-cf-30-em-1-turbina-bak-30-l-stal-220v-1400vt-s-rozetkoj-dlya-instrumenta/" TargetMode="External"/><Relationship Id="rId_hyperlink_443" Type="http://schemas.openxmlformats.org/officeDocument/2006/relationships/hyperlink" Target="https://him-auto.ru/pylesosy-pylevodososy-i-zapasnye-chasti/pylevodosos-somet-cv-20-x-1-turbina-bak-20l-nerzh-220v-1600vt/" TargetMode="External"/><Relationship Id="rId_hyperlink_444" Type="http://schemas.openxmlformats.org/officeDocument/2006/relationships/hyperlink" Target="https://him-auto.ru/pylesosy-pylevodososy-i-zapasnye-chasti/pylevodosos-somet-cv-30-x-1-turbina-bak-30l-nerzh-220v-1600vt-snyat-s-proizvodstva/" TargetMode="External"/><Relationship Id="rId_hyperlink_445" Type="http://schemas.openxmlformats.org/officeDocument/2006/relationships/hyperlink" Target="https://him-auto.ru/pylesosy-pylevodososy-i-zapasnye-chasti/pylevodosos-somet-cv-30-xe-1-turbina-bak-30l-nerzh-rozetka-dlya-instr-220v-1600vt/" TargetMode="External"/><Relationship Id="rId_hyperlink_446" Type="http://schemas.openxmlformats.org/officeDocument/2006/relationships/hyperlink" Target="https://him-auto.ru/pylesosy-pylevodososy-i-zapasnye-chasti/pylevodosos-somet-cv-50-xe-1-turbina-bak-50l-nerzh-rozetka-dlya-instr-220v-1600vt/" TargetMode="External"/><Relationship Id="rId_hyperlink_447" Type="http://schemas.openxmlformats.org/officeDocument/2006/relationships/hyperlink" Target="https://him-auto.ru/pylesosy-pylevodososy-i-zapasnye-chasti/pylevodosos-ehkstraktor-comet-jupiter-bak-5-l-220v-1200-vt/" TargetMode="External"/><Relationship Id="rId_hyperlink_448" Type="http://schemas.openxmlformats.org/officeDocument/2006/relationships/hyperlink" Target="https://him-auto.ru/pylesosy-pylevodososy-i-zapasnye-chasti/pylevodosos-ehkstraktor-somet-costellation-ir-2-turbiny-bak-78l-nerzh-220v-2200vt/" TargetMode="External"/><Relationship Id="rId_hyperlink_449" Type="http://schemas.openxmlformats.org/officeDocument/2006/relationships/hyperlink" Target="https://him-auto.ru/pylesosy-pylevodososy-i-zapasnye-chasti/pylevodosos-ehkstraktor-somet-cvc-120-s-moyushchimsya-filtrom/" TargetMode="External"/><Relationship Id="rId_hyperlink_450" Type="http://schemas.openxmlformats.org/officeDocument/2006/relationships/hyperlink" Target="https://him-auto.ru/pylesosy-pylevodososy-i-zapasnye-chasti/pylevodosos-ehkstraktor-somet-cvc-150-xh-1-turbina-bak-50l-nerzh-220v-1400vt/" TargetMode="External"/><Relationship Id="rId_hyperlink_451" Type="http://schemas.openxmlformats.org/officeDocument/2006/relationships/hyperlink" Target="https://him-auto.ru/pylesosy-pylevodososy-i-zapasnye-chasti/pylevodosos-ehkstraktor-somet-cvc-278-xh-2-turbiny-bak-78l-nerzh-220v-2200vt/" TargetMode="External"/><Relationship Id="rId_hyperlink_452" Type="http://schemas.openxmlformats.org/officeDocument/2006/relationships/hyperlink" Target="https://him-auto.ru/pylesosy-pylevodososy-i-zapasnye-chasti/pylevodosos-ehkstraktor-somet-gbp-20-pro-s-patronnym-filtrom-bak-20-l-220v-1400-vt/" TargetMode="External"/><Relationship Id="rId_hyperlink_453" Type="http://schemas.openxmlformats.org/officeDocument/2006/relationships/hyperlink" Target="https://him-auto.ru/pylesosy-pylevodososy-i-zapasnye-chasti/pylevodosos-ehkstraktor-somet-gbp-20-1-turbina-bak-20l-220v-1200vt/" TargetMode="External"/><Relationship Id="rId_hyperlink_454" Type="http://schemas.openxmlformats.org/officeDocument/2006/relationships/hyperlink" Target="https://him-auto.ru/pylesosy-pylevodososy-i-zapasnye-chasti/pylesos-autech-dlya-uborki-pomeshchenij-i-avtotransporta-3000-vt/" TargetMode="External"/><Relationship Id="rId_hyperlink_455" Type="http://schemas.openxmlformats.org/officeDocument/2006/relationships/hyperlink" Target="https://him-auto.ru/pylesosy-pylevodososy-i-zapasnye-chasti/pylesos-comet-ca-18-s-1-turbina-bak-18l-stal-220v-1000vt/" TargetMode="External"/><Relationship Id="rId_hyperlink_456" Type="http://schemas.openxmlformats.org/officeDocument/2006/relationships/hyperlink" Target="https://him-auto.ru/pylesosy-pylevodososy-i-zapasnye-chasti/pylesos-panda-215-xp-plast/" TargetMode="External"/><Relationship Id="rId_hyperlink_457" Type="http://schemas.openxmlformats.org/officeDocument/2006/relationships/hyperlink" Target="https://him-auto.ru/pylesosy-pylevodososy-i-zapasnye-chasti/pylesos-panda-429-ga-xp-inox/" TargetMode="External"/><Relationship Id="rId_hyperlink_458" Type="http://schemas.openxmlformats.org/officeDocument/2006/relationships/hyperlink" Target="https://him-auto.ru/pylesosy-pylevodososy-i-zapasnye-chasti/pylesos-panda-429-ga-xp-plast/" TargetMode="External"/><Relationship Id="rId_hyperlink_459" Type="http://schemas.openxmlformats.org/officeDocument/2006/relationships/hyperlink" Target="https://him-auto.ru/pylesosy-pylevodososy-i-zapasnye-chasti/pylesos-panda-429m-ga-xp-plast/" TargetMode="External"/><Relationship Id="rId_hyperlink_460" Type="http://schemas.openxmlformats.org/officeDocument/2006/relationships/hyperlink" Target="https://him-auto.ru/pylesosy-pylevodososy-i-zapasnye-chasti/pylesos-panda-440-ga-xp-inox/" TargetMode="External"/><Relationship Id="rId_hyperlink_461" Type="http://schemas.openxmlformats.org/officeDocument/2006/relationships/hyperlink" Target="https://him-auto.ru/pylesosy-pylevodososy-i-zapasnye-chasti/pylesos-panda-440-ga-xp-plast/" TargetMode="External"/><Relationship Id="rId_hyperlink_462" Type="http://schemas.openxmlformats.org/officeDocument/2006/relationships/hyperlink" Target="https://him-auto.ru/pylesosy-pylevodososy-i-zapasnye-chasti/pylesos-panda-440m-ga-xp-inox/" TargetMode="External"/><Relationship Id="rId_hyperlink_463" Type="http://schemas.openxmlformats.org/officeDocument/2006/relationships/hyperlink" Target="https://him-auto.ru/pylesosy-pylevodososy-i-zapasnye-chasti/pylesos-panda-440m-ga-xp-plast/" TargetMode="External"/><Relationship Id="rId_hyperlink_464" Type="http://schemas.openxmlformats.org/officeDocument/2006/relationships/hyperlink" Target="https://him-auto.ru/pylesosy-pylevodososy-i-zapasnye-chasti/pylesos-panda-515-xp-plast/" TargetMode="External"/><Relationship Id="rId_hyperlink_465" Type="http://schemas.openxmlformats.org/officeDocument/2006/relationships/hyperlink" Target="https://him-auto.ru/pylesosy-pylevodososy-i-zapasnye-chasti/pylesos-panda-51526-xp-inox/" TargetMode="External"/><Relationship Id="rId_hyperlink_466" Type="http://schemas.openxmlformats.org/officeDocument/2006/relationships/hyperlink" Target="https://him-auto.ru/pylesosy-pylevodososy-i-zapasnye-chasti/pylesos-panda-51533-xp-inox/" TargetMode="External"/><Relationship Id="rId_hyperlink_467" Type="http://schemas.openxmlformats.org/officeDocument/2006/relationships/hyperlink" Target="https://him-auto.ru/pylesosy-pylevodososy-i-zapasnye-chasti/pylesos-panda-as-123-wd/" TargetMode="External"/><Relationship Id="rId_hyperlink_468" Type="http://schemas.openxmlformats.org/officeDocument/2006/relationships/hyperlink" Target="https://him-auto.ru/pylesosy-pylevodososy-i-zapasnye-chasti/pylesos-soteco-panda-429m-ga-xp-inox/" TargetMode="External"/><Relationship Id="rId_hyperlink_469" Type="http://schemas.openxmlformats.org/officeDocument/2006/relationships/hyperlink" Target="https://him-auto.ru/pylesosy-pylevodososy-i-zapasnye-chasti/pylesos-soteco-panda-v-633-m/" TargetMode="External"/><Relationship Id="rId_hyperlink_470" Type="http://schemas.openxmlformats.org/officeDocument/2006/relationships/hyperlink" Target="https://him-auto.ru/pylesosy-pylevodososy-i-zapasnye-chasti/pylesos-soteco-tornado-429-flowmix-inox/" TargetMode="External"/><Relationship Id="rId_hyperlink_471" Type="http://schemas.openxmlformats.org/officeDocument/2006/relationships/hyperlink" Target="https://him-auto.ru/pylesosy-pylevodososy-i-zapasnye-chasti/pylesos-tornado-yvo-wet/" TargetMode="External"/><Relationship Id="rId_hyperlink_472" Type="http://schemas.openxmlformats.org/officeDocument/2006/relationships/hyperlink" Target="https://him-auto.ru/pylesosy-pylevodososy-i-zapasnye-chasti/pylesos-wl092-15lps-plast/" TargetMode="External"/><Relationship Id="rId_hyperlink_473" Type="http://schemas.openxmlformats.org/officeDocument/2006/relationships/hyperlink" Target="https://him-auto.ru/pylesosy-pylevodososy-i-zapasnye-chasti/pylesos-wl092-20lps-plast/" TargetMode="External"/><Relationship Id="rId_hyperlink_474" Type="http://schemas.openxmlformats.org/officeDocument/2006/relationships/hyperlink" Target="https://him-auto.ru/pylesosy-pylevodososy-i-zapasnye-chasti/pylesos-wl092-30lps-plast/" TargetMode="External"/><Relationship Id="rId_hyperlink_475" Type="http://schemas.openxmlformats.org/officeDocument/2006/relationships/hyperlink" Target="https://him-auto.ru/pylesosy-pylevodososy-i-zapasnye-chasti/pylesos-wl70-70l2b-inox/" TargetMode="External"/><Relationship Id="rId_hyperlink_476" Type="http://schemas.openxmlformats.org/officeDocument/2006/relationships/hyperlink" Target="https://him-auto.ru/pylesosy-pylevodososy-i-zapasnye-chasti/pylesos-wl70-70l3b-inox/" TargetMode="External"/><Relationship Id="rId_hyperlink_477" Type="http://schemas.openxmlformats.org/officeDocument/2006/relationships/hyperlink" Target="https://him-auto.ru/pylesosy-pylevodososy-i-zapasnye-chasti/pylesos-yp140020/" TargetMode="External"/><Relationship Id="rId_hyperlink_478" Type="http://schemas.openxmlformats.org/officeDocument/2006/relationships/hyperlink" Target="https://him-auto.ru/pylesosy-pylevodososy-i-zapasnye-chasti/pylesos-dlya-suhoj-i-vlazhnoj-uboki-somet-cm-20-s1-turbina-bak-20l-stal-1200vt/" TargetMode="External"/><Relationship Id="rId_hyperlink_479" Type="http://schemas.openxmlformats.org/officeDocument/2006/relationships/hyperlink" Target="https://him-auto.ru/pylesosy-pylevodososy-i-zapasnye-chasti/pylesos-dlya-suhoj-i-vlazhnoj-uborki-comet-windy-365-ir-3-turbiny-bak-65l-nerzh-3600-vt/" TargetMode="External"/><Relationship Id="rId_hyperlink_480" Type="http://schemas.openxmlformats.org/officeDocument/2006/relationships/hyperlink" Target="https://him-auto.ru/pylesosy-pylevodososy-i-zapasnye-chasti/pylesos-dlya-suhoj-i-vlazhnoj-uborki-green-503-1-turbina-bak-32-l-220v-1200-vt/" TargetMode="External"/><Relationship Id="rId_hyperlink_481" Type="http://schemas.openxmlformats.org/officeDocument/2006/relationships/hyperlink" Target="https://him-auto.ru/pylesosy-pylevodososy-i-zapasnye-chasti/pylesos-dlya-suhoj-i-vlazhnoj-uborki-play-yes-429m-2-turb-2800-vt-62-lplast-so-slivnym-shlangom/" TargetMode="External"/><Relationship Id="rId_hyperlink_482" Type="http://schemas.openxmlformats.org/officeDocument/2006/relationships/hyperlink" Target="https://him-auto.ru/pylesosy-pylevodososy-i-zapasnye-chasti/pylesos-dlya-suhoj-i-vlazhnoj-uborki-super-clean-3-turbbak60l-plast3000vt-bez-kolesshlangaakses/" TargetMode="External"/><Relationship Id="rId_hyperlink_483" Type="http://schemas.openxmlformats.org/officeDocument/2006/relationships/hyperlink" Target="https://him-auto.ru/pylesosy-pylevodososy-i-zapasnye-chasti/pylesos-dlya-suhoj-i-vlazhnoj-uborki-kometa-1-turb-bak-15lnerzh-stal-1000vt-polnaya-komplektaciya/" TargetMode="External"/><Relationship Id="rId_hyperlink_484" Type="http://schemas.openxmlformats.org/officeDocument/2006/relationships/hyperlink" Target="https://him-auto.ru/pylesosy-pylevodososy-i-zapasnye-chasti/pylesos-dlya-suhoj-i-vlazhnoj-uborki-kometa-3-turb-bak-70l-3000vt-polnaya-komplektaciya/" TargetMode="External"/><Relationship Id="rId_hyperlink_485" Type="http://schemas.openxmlformats.org/officeDocument/2006/relationships/hyperlink" Target="https://him-auto.ru/pylesosy-pylevodososy-i-zapasnye-chasti/pylesos-dlya-suhoj-i-vlazhnoj-uborki-kometa-3-turb-bak-70l-nerzh-3000vt-nasadka-shlang-25m/" TargetMode="External"/><Relationship Id="rId_hyperlink_486" Type="http://schemas.openxmlformats.org/officeDocument/2006/relationships/hyperlink" Target="https://him-auto.ru/pylesosy-pylevodososy-i-zapasnye-chasti/pylesos-dlya-suhoj-i-vlazhnoj-uborki-somet-cm-30-s-4-v-1-1-turbina-bak-1414-l-stal-1200vt/" TargetMode="External"/><Relationship Id="rId_hyperlink_487" Type="http://schemas.openxmlformats.org/officeDocument/2006/relationships/hyperlink" Target="https://him-auto.ru/pylesosy-pylevodososy-i-zapasnye-chasti/pylesos-dlya-suhoj-i-vlazhnoj-uborki-somet-cv-30-xe-1-turbina-bak-30l-rozetka-dlya-instr-1600vt/" TargetMode="External"/><Relationship Id="rId_hyperlink_488" Type="http://schemas.openxmlformats.org/officeDocument/2006/relationships/hyperlink" Target="https://him-auto.ru/pylesosy-pylevodososy-i-zapasnye-chasti/pylesos-dlya-suhoj-i-vlazhnoj-uborki-somet-cvp-120-x-1-turbina-bak-20l-nerzh-1400vt/" TargetMode="External"/><Relationship Id="rId_hyperlink_489" Type="http://schemas.openxmlformats.org/officeDocument/2006/relationships/hyperlink" Target="https://him-auto.ru/pylesosy-pylevodososy-i-zapasnye-chasti/pylesos-dlya-suhoj-i-vlazhnoj-uborki-somet-cvp-130-x-1-turbina-bak-30l-nerzh-1400vt/" TargetMode="External"/><Relationship Id="rId_hyperlink_490" Type="http://schemas.openxmlformats.org/officeDocument/2006/relationships/hyperlink" Target="https://him-auto.ru/pylesosy-pylevodososy-i-zapasnye-chasti/pylesos-dlya-suhoj-i-vlazhnoj-uborki-somet-cvp-278-p-2-turbiny-bak-78lplast-2000vt/" TargetMode="External"/><Relationship Id="rId_hyperlink_491" Type="http://schemas.openxmlformats.org/officeDocument/2006/relationships/hyperlink" Target="https://him-auto.ru/pylesosy-pylevodososy-i-zapasnye-chasti/pylesos-dlya-suhoj-i-vlazhnoj-uborki-somet-cvp-278-pbh-2-turbiny-bak-78l-plast-2400vt/" TargetMode="External"/><Relationship Id="rId_hyperlink_492" Type="http://schemas.openxmlformats.org/officeDocument/2006/relationships/hyperlink" Target="https://him-auto.ru/pylesosy-pylevodososy-i-zapasnye-chasti/pylesos-dlya-suhoj-i-vlazhnoj-uborki-somet-cvp-378-pbh-3-turbiny-bak-78l-plast-3600vt/" TargetMode="External"/><Relationship Id="rId_hyperlink_493" Type="http://schemas.openxmlformats.org/officeDocument/2006/relationships/hyperlink" Target="https://him-auto.ru/pylesosy-pylevodososy-i-zapasnye-chasti/pylesos-dlya-suhoj-i-vlazhnoj-uborki-somet-cvp-378-xbh-3-turbiny-bak-78l-nerzh-3600vt/" TargetMode="External"/><Relationship Id="rId_hyperlink_494" Type="http://schemas.openxmlformats.org/officeDocument/2006/relationships/hyperlink" Target="https://him-auto.ru/pylesosy-pylevodososy-i-zapasnye-chasti/pylesos-dlya-suhoj-i-vlazhnoj-uborki-somet-windy-265-pf-2-turbiny-bak-65lplast-2000vt/" TargetMode="External"/><Relationship Id="rId_hyperlink_495" Type="http://schemas.openxmlformats.org/officeDocument/2006/relationships/hyperlink" Target="https://him-auto.ru/pylesosy-pylevodososy-i-zapasnye-chasti/pylesos-dlya-suhoj-uborki-comet-whisper-v8-bak-15-l-plastik-220v-1300-vt/" TargetMode="External"/><Relationship Id="rId_hyperlink_496" Type="http://schemas.openxmlformats.org/officeDocument/2006/relationships/hyperlink" Target="https://him-auto.ru/pylesosy-pylevodososy-i-zapasnye-chasti/pylesos-dlya-suhoj-uborki-silent-bak-12-l-plastik-220v-800-vt/" TargetMode="External"/><Relationship Id="rId_hyperlink_497" Type="http://schemas.openxmlformats.org/officeDocument/2006/relationships/hyperlink" Target="https://him-auto.ru/pylesosy-pylevodososy-i-zapasnye-chasti/pylesos-dlya-suhoj-uborki-akkumulyatornyj-comet-cm-12-s-free-bak-12-l-stal-18-v-22-ach/" TargetMode="External"/><Relationship Id="rId_hyperlink_498" Type="http://schemas.openxmlformats.org/officeDocument/2006/relationships/hyperlink" Target="https://him-auto.ru/pylesosy-pylevodososy-i-zapasnye-chasti/pylesos-dlya-suhoj-uborki-somet-cvp-112-quiet-bak-12-l-bak-plastik-220-v-800-vt/" TargetMode="External"/><Relationship Id="rId_hyperlink_499" Type="http://schemas.openxmlformats.org/officeDocument/2006/relationships/hyperlink" Target="https://him-auto.ru/pylesosy-pylevodososy-i-zapasnye-chasti/pylesos-promyshlennyj-mec-wd-623-st-3-turb-3500vt-62-l-poln-kompl/" TargetMode="External"/><Relationship Id="rId_hyperlink_500" Type="http://schemas.openxmlformats.org/officeDocument/2006/relationships/hyperlink" Target="https://him-auto.ru/pylesosy-pylevodososy-i-zapasnye-chasti/pylesos-stroitelnyj-wl092a-15lps-plast-s-rozetkoj/" TargetMode="External"/><Relationship Id="rId_hyperlink_501" Type="http://schemas.openxmlformats.org/officeDocument/2006/relationships/hyperlink" Target="https://him-auto.ru/pylesosy-pylevodososy-i-zapasnye-chasti/pylesos-stroitelnyj-wl092a-20lps-plast-s-rozetkoj/" TargetMode="External"/><Relationship Id="rId_hyperlink_502" Type="http://schemas.openxmlformats.org/officeDocument/2006/relationships/hyperlink" Target="https://him-auto.ru/pylesosy-pylevodososy-i-zapasnye-chasti/pylesos-stroitelnyj-wl092a-30lps-plast-s-rozetkoj-i-so-slivom/" TargetMode="External"/><Relationship Id="rId_hyperlink_503" Type="http://schemas.openxmlformats.org/officeDocument/2006/relationships/hyperlink" Target="https://him-auto.ru/pylesosy-pylevodososy-i-zapasnye-chasti/pylesosy-rgs-s-vysokim-potokom/" TargetMode="External"/><Relationship Id="rId_hyperlink_504" Type="http://schemas.openxmlformats.org/officeDocument/2006/relationships/hyperlink" Target="https://him-auto.ru/pylesosy-pylevodososy-i-zapasnye-chasti/razvetvitel/" TargetMode="External"/><Relationship Id="rId_hyperlink_505" Type="http://schemas.openxmlformats.org/officeDocument/2006/relationships/hyperlink" Target="https://him-auto.ru/pylesosy-pylevodososy-i-zapasnye-chasti/razvetvitel-na-2-shlanga-3836mm-diametr/" TargetMode="External"/><Relationship Id="rId_hyperlink_506" Type="http://schemas.openxmlformats.org/officeDocument/2006/relationships/hyperlink" Target="https://him-auto.ru/pylesosy-pylevodososy-i-zapasnye-chasti/rozetka-dlya-baka/" TargetMode="External"/><Relationship Id="rId_hyperlink_507" Type="http://schemas.openxmlformats.org/officeDocument/2006/relationships/hyperlink" Target="https://him-auto.ru/pylesosy-pylevodososy-i-zapasnye-chasti/rozetka-dlya-ehl-instrumenta-justo/" TargetMode="External"/><Relationship Id="rId_hyperlink_508" Type="http://schemas.openxmlformats.org/officeDocument/2006/relationships/hyperlink" Target="https://him-auto.ru/pylesosy-pylevodososy-i-zapasnye-chasti/rukoyatka-dlya-pylesosa-c-podachej-himii/" TargetMode="External"/><Relationship Id="rId_hyperlink_509" Type="http://schemas.openxmlformats.org/officeDocument/2006/relationships/hyperlink" Target="https://him-auto.ru/pylesosy-pylevodososy-i-zapasnye-chasti/ruchka-bokovaya-423433/" TargetMode="External"/><Relationship Id="rId_hyperlink_510" Type="http://schemas.openxmlformats.org/officeDocument/2006/relationships/hyperlink" Target="https://him-auto.ru/pylesosy-pylevodososy-i-zapasnye-chasti/ruchka-bokovaya-623633/" TargetMode="External"/><Relationship Id="rId_hyperlink_511" Type="http://schemas.openxmlformats.org/officeDocument/2006/relationships/hyperlink" Target="https://him-auto.ru/pylesosy-pylevodososy-i-zapasnye-chasti/ruchka-vedra-200-200-idro/" TargetMode="External"/><Relationship Id="rId_hyperlink_512" Type="http://schemas.openxmlformats.org/officeDocument/2006/relationships/hyperlink" Target="https://him-auto.ru/pylesosy-pylevodososy-i-zapasnye-chasti/ruchka-golovy-pylesosa/" TargetMode="External"/><Relationship Id="rId_hyperlink_513" Type="http://schemas.openxmlformats.org/officeDocument/2006/relationships/hyperlink" Target="https://him-auto.ru/pylesosy-pylevodososy-i-zapasnye-chasti/ruchka-golovy-pylesosa/?sku=155187" TargetMode="External"/><Relationship Id="rId_hyperlink_514" Type="http://schemas.openxmlformats.org/officeDocument/2006/relationships/hyperlink" Target="https://him-auto.ru/pylesosy-pylevodososy-i-zapasnye-chasti/ruchka-dlya-tornado-215-503/" TargetMode="External"/><Relationship Id="rId_hyperlink_515" Type="http://schemas.openxmlformats.org/officeDocument/2006/relationships/hyperlink" Target="https://him-auto.ru/pylesosy-pylevodososy-i-zapasnye-chasti/ruchka-dlya-golovy-tornado-423-433-623-633/" TargetMode="External"/><Relationship Id="rId_hyperlink_516" Type="http://schemas.openxmlformats.org/officeDocument/2006/relationships/hyperlink" Target="https://him-auto.ru/pylesosy-pylevodososy-i-zapasnye-chasti/ruchka-izognutaya-dlya-200-36mm-diametr/" TargetMode="External"/><Relationship Id="rId_hyperlink_517" Type="http://schemas.openxmlformats.org/officeDocument/2006/relationships/hyperlink" Target="https://him-auto.ru/pylesosy-pylevodososy-i-zapasnye-chasti/ruchka-kryshki-215-panda-xp/" TargetMode="External"/><Relationship Id="rId_hyperlink_518" Type="http://schemas.openxmlformats.org/officeDocument/2006/relationships/hyperlink" Target="https://him-auto.ru/pylesosy-pylevodososy-i-zapasnye-chasti/sedlo-zapornogo-cilindra/" TargetMode="External"/><Relationship Id="rId_hyperlink_519" Type="http://schemas.openxmlformats.org/officeDocument/2006/relationships/hyperlink" Target="https://him-auto.ru/pylesosy-pylevodososy-i-zapasnye-chasti/separator-dlya-v-640-m/" TargetMode="External"/><Relationship Id="rId_hyperlink_520" Type="http://schemas.openxmlformats.org/officeDocument/2006/relationships/hyperlink" Target="https://him-auto.ru/pylesosy-pylevodososy-i-zapasnye-chasti/soedinenie-mufta-dlya-200/" TargetMode="External"/><Relationship Id="rId_hyperlink_521" Type="http://schemas.openxmlformats.org/officeDocument/2006/relationships/hyperlink" Target="https://him-auto.ru/pylesosy-pylevodososy-i-zapasnye-chasti/soedinenie-nippel-dlya-200/" TargetMode="External"/><Relationship Id="rId_hyperlink_522" Type="http://schemas.openxmlformats.org/officeDocument/2006/relationships/hyperlink" Target="https://him-auto.ru/pylesosy-pylevodososy-i-zapasnye-chasti/styazhka-rezinovaya-dlya-balki-0042r/" TargetMode="External"/><Relationship Id="rId_hyperlink_523" Type="http://schemas.openxmlformats.org/officeDocument/2006/relationships/hyperlink" Target="https://him-auto.ru/pylesosy-pylevodososy-i-zapasnye-chasti/styazhka-rezinovaya-dlya-balki-0042r/?sku=160320" TargetMode="External"/><Relationship Id="rId_hyperlink_524" Type="http://schemas.openxmlformats.org/officeDocument/2006/relationships/hyperlink" Target="https://him-auto.ru/pylesosy-pylevodososy-i-zapasnye-chasti/styazhka-rezinovaya-dlya-vlagi-himchistka-ot-72123-sppv-2725r/" TargetMode="External"/><Relationship Id="rId_hyperlink_525" Type="http://schemas.openxmlformats.org/officeDocument/2006/relationships/hyperlink" Target="https://him-auto.ru/pylesosy-pylevodososy-i-zapasnye-chasti/styazhka-smennaya-dlya-shchetki-rezina-38sm-dlina/" TargetMode="External"/><Relationship Id="rId_hyperlink_526" Type="http://schemas.openxmlformats.org/officeDocument/2006/relationships/hyperlink" Target="https://him-auto.ru/pylesosy-pylevodososy-i-zapasnye-chasti/styazhka-smennaya-dlya-shchetki-rezina-400-mm/" TargetMode="External"/><Relationship Id="rId_hyperlink_527" Type="http://schemas.openxmlformats.org/officeDocument/2006/relationships/hyperlink" Target="https://him-auto.ru/pylesosy-pylevodososy-i-zapasnye-chasti/styazhka-smennaya-dlya-shchetki-shchetina-38sm-dlina/" TargetMode="External"/><Relationship Id="rId_hyperlink_528" Type="http://schemas.openxmlformats.org/officeDocument/2006/relationships/hyperlink" Target="https://him-auto.ru/pylesosy-pylevodososy-i-zapasnye-chasti/styazhka-smennaya-dlya-shchetki-shchetina-38sm-dlina/?sku=155029" TargetMode="External"/><Relationship Id="rId_hyperlink_529" Type="http://schemas.openxmlformats.org/officeDocument/2006/relationships/hyperlink" Target="https://him-auto.ru/pylesosy-pylevodososy-i-zapasnye-chasti/telezhka-v-komplekte-s-kolesami-dlya-pylesosa-70-l/" TargetMode="External"/><Relationship Id="rId_hyperlink_530" Type="http://schemas.openxmlformats.org/officeDocument/2006/relationships/hyperlink" Target="https://him-auto.ru/pylesosy-pylevodososy-i-zapasnye-chasti/telezhka-nevada-600-07713/" TargetMode="External"/><Relationship Id="rId_hyperlink_531" Type="http://schemas.openxmlformats.org/officeDocument/2006/relationships/hyperlink" Target="https://him-auto.ru/pylesosy-pylevodososy-i-zapasnye-chasti/termo-plata-panda-i-tornado/" TargetMode="External"/><Relationship Id="rId_hyperlink_532" Type="http://schemas.openxmlformats.org/officeDocument/2006/relationships/hyperlink" Target="https://him-auto.ru/pylesosy-pylevodososy-i-zapasnye-chasti/termoregulyator-dlya-tornado-600-mark/" TargetMode="External"/><Relationship Id="rId_hyperlink_533" Type="http://schemas.openxmlformats.org/officeDocument/2006/relationships/hyperlink" Target="https://him-auto.ru/pylesosy-pylevodososy-i-zapasnye-chasti/tkanevyj-filtr-15-litrov-bez-kolca/" TargetMode="External"/><Relationship Id="rId_hyperlink_534" Type="http://schemas.openxmlformats.org/officeDocument/2006/relationships/hyperlink" Target="https://him-auto.ru/pylesosy-pylevodososy-i-zapasnye-chasti/tkanevyj-filtr-30-litrov-bez-kolca/" TargetMode="External"/><Relationship Id="rId_hyperlink_535" Type="http://schemas.openxmlformats.org/officeDocument/2006/relationships/hyperlink" Target="https://him-auto.ru/pylesosy-pylevodososy-i-zapasnye-chasti/tkanevyj-filtr-70-litrov-bez-kolca/" TargetMode="External"/><Relationship Id="rId_hyperlink_536" Type="http://schemas.openxmlformats.org/officeDocument/2006/relationships/hyperlink" Target="https://him-auto.ru/pylesosy-pylevodososy-i-zapasnye-chasti/tkanevyj-filtr-v-sbore-15-litrov/" TargetMode="External"/><Relationship Id="rId_hyperlink_537" Type="http://schemas.openxmlformats.org/officeDocument/2006/relationships/hyperlink" Target="https://him-auto.ru/pylesosy-pylevodososy-i-zapasnye-chasti/tkanevyj-filtr-v-sbore-30-litrov/" TargetMode="External"/><Relationship Id="rId_hyperlink_538" Type="http://schemas.openxmlformats.org/officeDocument/2006/relationships/hyperlink" Target="https://him-auto.ru/pylesosy-pylevodososy-i-zapasnye-chasti/tkanevyj-filtr-korzina-v-sbore/" TargetMode="External"/><Relationship Id="rId_hyperlink_539" Type="http://schemas.openxmlformats.org/officeDocument/2006/relationships/hyperlink" Target="https://him-auto.ru/pylesosy-pylevodososy-i-zapasnye-chasti/tkanevyj-filtr-korzina-v-sbore-dlya-baka-70-litrov-s-karkasom/" TargetMode="External"/><Relationship Id="rId_hyperlink_540" Type="http://schemas.openxmlformats.org/officeDocument/2006/relationships/hyperlink" Target="https://him-auto.ru/pylesosy-pylevodososy-i-zapasnye-chasti/trehfaznye-pylesosy-rgs/" TargetMode="External"/><Relationship Id="rId_hyperlink_541" Type="http://schemas.openxmlformats.org/officeDocument/2006/relationships/hyperlink" Target="https://him-auto.ru/pylesosy-pylevodososy-i-zapasnye-chasti/trubka-vsasyvayushchaya-teleskopicheskaya-dlya-fox/" TargetMode="External"/><Relationship Id="rId_hyperlink_542" Type="http://schemas.openxmlformats.org/officeDocument/2006/relationships/hyperlink" Target="https://him-auto.ru/pylesosy-pylevodososy-i-zapasnye-chasti/trubka-vsasyvayushchaya-teleskopicheskaya-dlya-yvo-metal-36mm-diametr/" TargetMode="External"/><Relationship Id="rId_hyperlink_543" Type="http://schemas.openxmlformats.org/officeDocument/2006/relationships/hyperlink" Target="https://him-auto.ru/pylesosy-pylevodososy-i-zapasnye-chasti/trubka-konnektor-uglovaya-plastik-36mm-diametr/" TargetMode="External"/><Relationship Id="rId_hyperlink_544" Type="http://schemas.openxmlformats.org/officeDocument/2006/relationships/hyperlink" Target="https://him-auto.ru/pylesosy-pylevodososy-i-zapasnye-chasti/trubka-konnektor-uglovaya-plastik-38mm-diametr/" TargetMode="External"/><Relationship Id="rId_hyperlink_545" Type="http://schemas.openxmlformats.org/officeDocument/2006/relationships/hyperlink" Target="https://him-auto.ru/pylesosy-pylevodososy-i-zapasnye-chasti/trubka-konnektor-uglovaya-dlya-200-idro/" TargetMode="External"/><Relationship Id="rId_hyperlink_546" Type="http://schemas.openxmlformats.org/officeDocument/2006/relationships/hyperlink" Target="https://him-auto.ru/pylesosy-pylevodososy-i-zapasnye-chasti/trubka-konnektor-uglovaya-dlya-lp-112-36mm-diametr/" TargetMode="External"/><Relationship Id="rId_hyperlink_547" Type="http://schemas.openxmlformats.org/officeDocument/2006/relationships/hyperlink" Target="https://him-auto.ru/pylesosy-pylevodososy-i-zapasnye-chasti/trubka-konnektor-uglovaya-dlya-yvo-36mm-diametr/" TargetMode="External"/><Relationship Id="rId_hyperlink_548" Type="http://schemas.openxmlformats.org/officeDocument/2006/relationships/hyperlink" Target="https://him-auto.ru/pylesosy-pylevodososy-i-zapasnye-chasti/trubka-konnektor-uglovaya-s-vrashcheniem-plastik-36mm-diametr/" TargetMode="External"/><Relationship Id="rId_hyperlink_549" Type="http://schemas.openxmlformats.org/officeDocument/2006/relationships/hyperlink" Target="https://him-auto.ru/pylesosy-pylevodososy-i-zapasnye-chasti/trubka-s-igibom-&#248;-35/" TargetMode="External"/><Relationship Id="rId_hyperlink_550" Type="http://schemas.openxmlformats.org/officeDocument/2006/relationships/hyperlink" Target="https://him-auto.ru/pylesosy-pylevodososy-i-zapasnye-chasti/trubka-uglovaya-d36-00614/" TargetMode="External"/><Relationship Id="rId_hyperlink_551" Type="http://schemas.openxmlformats.org/officeDocument/2006/relationships/hyperlink" Target="https://him-auto.ru/pylesosy-pylevodososy-i-zapasnye-chasti/trubka-uglovaya-d38-dlya-503423433623633-06389-06389/" TargetMode="External"/><Relationship Id="rId_hyperlink_552" Type="http://schemas.openxmlformats.org/officeDocument/2006/relationships/hyperlink" Target="https://him-auto.ru/pylesosy-pylevodososy-i-zapasnye-chasti/trubka-uglovaya-s-rezboj-d36-203215-leo/" TargetMode="External"/><Relationship Id="rId_hyperlink_553" Type="http://schemas.openxmlformats.org/officeDocument/2006/relationships/hyperlink" Target="https://him-auto.ru/pylesosy-pylevodososy-i-zapasnye-chasti/trubka-udlinitel-plas-metall-38mm-diametr/" TargetMode="External"/><Relationship Id="rId_hyperlink_554" Type="http://schemas.openxmlformats.org/officeDocument/2006/relationships/hyperlink" Target="https://him-auto.ru/pylesosy-pylevodososy-i-zapasnye-chasti/trubka-udlinitel-plas-metall-36mm-diametr/" TargetMode="External"/><Relationship Id="rId_hyperlink_555" Type="http://schemas.openxmlformats.org/officeDocument/2006/relationships/hyperlink" Target="https://him-auto.ru/pylesosy-pylevodososy-i-zapasnye-chasti/trubka-udlinitel-dlya-yp14006/" TargetMode="External"/><Relationship Id="rId_hyperlink_556" Type="http://schemas.openxmlformats.org/officeDocument/2006/relationships/hyperlink" Target="https://him-auto.ru/pylesosy-pylevodososy-i-zapasnye-chasti/trubka-udlinitel-dlya-yvo-plas-metall-36mm-diametr/" TargetMode="External"/><Relationship Id="rId_hyperlink_557" Type="http://schemas.openxmlformats.org/officeDocument/2006/relationships/hyperlink" Target="https://him-auto.ru/pylesosy-pylevodososy-i-zapasnye-chasti/trubka-udlinitelnaya-alyuminijplastik-l500-d36-06240/" TargetMode="External"/><Relationship Id="rId_hyperlink_558" Type="http://schemas.openxmlformats.org/officeDocument/2006/relationships/hyperlink" Target="https://him-auto.ru/pylesosy-pylevodososy-i-zapasnye-chasti/trubka-udlinitelnaya-alyuminijplastik-l500-d38-06387/" TargetMode="External"/><Relationship Id="rId_hyperlink_559" Type="http://schemas.openxmlformats.org/officeDocument/2006/relationships/hyperlink" Target="https://him-auto.ru/pylesosy-pylevodososy-i-zapasnye-chasti/trubka-udlinitelnaya-dlya-pylesosov-480-mm-&#248;-35/" TargetMode="External"/><Relationship Id="rId_hyperlink_560" Type="http://schemas.openxmlformats.org/officeDocument/2006/relationships/hyperlink" Target="https://him-auto.ru/pylesosy-pylevodososy-i-zapasnye-chasti/trubka-udlinitelnaya-iz-alyuminiya-&#248;-35/" TargetMode="External"/><Relationship Id="rId_hyperlink_561" Type="http://schemas.openxmlformats.org/officeDocument/2006/relationships/hyperlink" Target="https://him-auto.ru/pylesosy-pylevodososy-i-zapasnye-chasti/trubka-udlinitelnaya-teleskopicheskaya-stalnaya-dlya-pylesosov-&#248;-35/" TargetMode="External"/><Relationship Id="rId_hyperlink_562" Type="http://schemas.openxmlformats.org/officeDocument/2006/relationships/hyperlink" Target="https://him-auto.ru/pylesosy-pylevodososy-i-zapasnye-chasti/trubka-udlinitelnaya-1m-dlina-50mm-diametr/" TargetMode="External"/><Relationship Id="rId_hyperlink_563" Type="http://schemas.openxmlformats.org/officeDocument/2006/relationships/hyperlink" Target="https://him-auto.ru/pylesosy-pylevodososy-i-zapasnye-chasti/trubka-hromirovannaya-stalnaya-rukoyatka-&#248;-50/" TargetMode="External"/><Relationship Id="rId_hyperlink_564" Type="http://schemas.openxmlformats.org/officeDocument/2006/relationships/hyperlink" Target="https://him-auto.ru/pylesosy-pylevodososy-i-zapasnye-chasti/trubki-dlya-pylesosa-d40mm-komplekt-2-sht/" TargetMode="External"/><Relationship Id="rId_hyperlink_565" Type="http://schemas.openxmlformats.org/officeDocument/2006/relationships/hyperlink" Target="https://him-auto.ru/pylesosy-pylevodososy-i-zapasnye-chasti/trubki-udlinitelnaya-dlya-pylesosov-iz-hromirovannogo-metalla-490-mm-&#248;-35kompl2sht/" TargetMode="External"/><Relationship Id="rId_hyperlink_566" Type="http://schemas.openxmlformats.org/officeDocument/2006/relationships/hyperlink" Target="https://him-auto.ru/pylesosy-pylevodososy-i-zapasnye-chasti/trubki-udlinitelnye-iz-hromirovannogo-metalla-dlya-pylesosov-pryamaya-izognutaya-&#248;-40/" TargetMode="External"/><Relationship Id="rId_hyperlink_567" Type="http://schemas.openxmlformats.org/officeDocument/2006/relationships/hyperlink" Target="https://him-auto.ru/pylesosy-pylevodososy-i-zapasnye-chasti/trubki-udlinitelnye-iz-hromirovannogo-metalla-dlya-pylesosov-480-mm-&#248;-35/" TargetMode="External"/><Relationship Id="rId_hyperlink_568" Type="http://schemas.openxmlformats.org/officeDocument/2006/relationships/hyperlink" Target="https://him-auto.ru/pylesosy-pylevodososy-i-zapasnye-chasti/turbina-1000-w-28716-momo-s/" TargetMode="External"/><Relationship Id="rId_hyperlink_569" Type="http://schemas.openxmlformats.org/officeDocument/2006/relationships/hyperlink" Target="https://him-auto.ru/pylesosy-pylevodososy-i-zapasnye-chasti/turbina-1000w-11-me-00/" TargetMode="External"/><Relationship Id="rId_hyperlink_570" Type="http://schemas.openxmlformats.org/officeDocument/2006/relationships/hyperlink" Target="https://him-auto.ru/pylesosy-pylevodososy-i-zapasnye-chasti/turbina-1000w-11-me-00-chg/" TargetMode="External"/><Relationship Id="rId_hyperlink_571" Type="http://schemas.openxmlformats.org/officeDocument/2006/relationships/hyperlink" Target="https://him-auto.ru/pylesosy-pylevodososy-i-zapasnye-chasti/turbina-1200-w-00438-momo/" TargetMode="External"/><Relationship Id="rId_hyperlink_572" Type="http://schemas.openxmlformats.org/officeDocument/2006/relationships/hyperlink" Target="https://him-auto.ru/pylesosy-pylevodososy-i-zapasnye-chasti/turbina-1200w-11-me-06/" TargetMode="External"/><Relationship Id="rId_hyperlink_573" Type="http://schemas.openxmlformats.org/officeDocument/2006/relationships/hyperlink" Target="https://him-auto.ru/pylesosy-pylevodososy-i-zapasnye-chasti/turbina-1200w-11-me-06-c-chg/" TargetMode="External"/><Relationship Id="rId_hyperlink_574" Type="http://schemas.openxmlformats.org/officeDocument/2006/relationships/hyperlink" Target="https://him-auto.ru/pylesosy-pylevodososy-i-zapasnye-chasti/turbina-1200w-11-me-130/" TargetMode="External"/><Relationship Id="rId_hyperlink_575" Type="http://schemas.openxmlformats.org/officeDocument/2006/relationships/hyperlink" Target="https://him-auto.ru/pylesosy-pylevodososy-i-zapasnye-chasti/turbina-1200w-11-me-60/" TargetMode="External"/><Relationship Id="rId_hyperlink_576" Type="http://schemas.openxmlformats.org/officeDocument/2006/relationships/hyperlink" Target="https://him-auto.ru/pylesosy-pylevodososy-i-zapasnye-chasti/turbina-1200w-11-me-06-s-2/" TargetMode="External"/><Relationship Id="rId_hyperlink_577" Type="http://schemas.openxmlformats.org/officeDocument/2006/relationships/hyperlink" Target="https://him-auto.ru/pylesosy-pylevodososy-i-zapasnye-chasti/turbina-1200w-cg58/" TargetMode="External"/><Relationship Id="rId_hyperlink_578" Type="http://schemas.openxmlformats.org/officeDocument/2006/relationships/hyperlink" Target="https://him-auto.ru/pylesosy-pylevodososy-i-zapasnye-chasti/turbina-1200w-jbj-301/" TargetMode="External"/><Relationship Id="rId_hyperlink_579" Type="http://schemas.openxmlformats.org/officeDocument/2006/relationships/hyperlink" Target="https://him-auto.ru/pylesosy-pylevodososy-i-zapasnye-chasti/turbina-1300-w-49602-momo/" TargetMode="External"/><Relationship Id="rId_hyperlink_580" Type="http://schemas.openxmlformats.org/officeDocument/2006/relationships/hyperlink" Target="https://him-auto.ru/pylesosy-pylevodososy-i-zapasnye-chasti/turbina-1300w-cg23/" TargetMode="External"/><Relationship Id="rId_hyperlink_581" Type="http://schemas.openxmlformats.org/officeDocument/2006/relationships/hyperlink" Target="https://him-auto.ru/pylesosy-pylevodososy-i-zapasnye-chasti/turbina-1350w-11-me-132/" TargetMode="External"/><Relationship Id="rId_hyperlink_582" Type="http://schemas.openxmlformats.org/officeDocument/2006/relationships/hyperlink" Target="https://him-auto.ru/pylesosy-pylevodososy-i-zapasnye-chasti/turbina-1350w-11-me-77/" TargetMode="External"/><Relationship Id="rId_hyperlink_583" Type="http://schemas.openxmlformats.org/officeDocument/2006/relationships/hyperlink" Target="https://him-auto.ru/pylesosy-pylevodososy-i-zapasnye-chasti/turbina-1400-w-00435-momo/" TargetMode="External"/><Relationship Id="rId_hyperlink_584" Type="http://schemas.openxmlformats.org/officeDocument/2006/relationships/hyperlink" Target="https://him-auto.ru/pylesosy-pylevodososy-i-zapasnye-chasti/turbina-1400w-11-me-06-c-chg/" TargetMode="External"/><Relationship Id="rId_hyperlink_585" Type="http://schemas.openxmlformats.org/officeDocument/2006/relationships/hyperlink" Target="https://him-auto.ru/pylesosy-pylevodososy-i-zapasnye-chasti/turbina-1400w-cg03/" TargetMode="External"/><Relationship Id="rId_hyperlink_586" Type="http://schemas.openxmlformats.org/officeDocument/2006/relationships/hyperlink" Target="https://him-auto.ru/pylesosy-pylevodososy-i-zapasnye-chasti/turbina-1400w-v2z-p25/" TargetMode="External"/><Relationship Id="rId_hyperlink_587" Type="http://schemas.openxmlformats.org/officeDocument/2006/relationships/hyperlink" Target="https://him-auto.ru/pylesosy-pylevodososy-i-zapasnye-chasti/turbina-1600w-vcm-06s-chg/" TargetMode="External"/><Relationship Id="rId_hyperlink_588" Type="http://schemas.openxmlformats.org/officeDocument/2006/relationships/hyperlink" Target="https://him-auto.ru/pylesosy-pylevodososy-i-zapasnye-chasti/turbina-1800w-ph29/" TargetMode="External"/><Relationship Id="rId_hyperlink_589" Type="http://schemas.openxmlformats.org/officeDocument/2006/relationships/hyperlink" Target="https://him-auto.ru/pylesosy-pylevodososy-i-zapasnye-chasti/turbina-1800w-vcm-08s-chg/" TargetMode="External"/><Relationship Id="rId_hyperlink_590" Type="http://schemas.openxmlformats.org/officeDocument/2006/relationships/hyperlink" Target="https://him-auto.ru/pylesosy-pylevodososy-i-zapasnye-chasti/turbina-2000w-vcm-20-chg/" TargetMode="External"/><Relationship Id="rId_hyperlink_591" Type="http://schemas.openxmlformats.org/officeDocument/2006/relationships/hyperlink" Target="https://him-auto.ru/pylesosy-pylevodososy-i-zapasnye-chasti/turbina-00214-momo/" TargetMode="External"/><Relationship Id="rId_hyperlink_592" Type="http://schemas.openxmlformats.org/officeDocument/2006/relationships/hyperlink" Target="https://him-auto.ru/pylesosy-pylevodososy-i-zapasnye-chasti/turbina-00349-mocc/" TargetMode="External"/><Relationship Id="rId_hyperlink_593" Type="http://schemas.openxmlformats.org/officeDocument/2006/relationships/hyperlink" Target="https://him-auto.ru/pylesosy-pylevodososy-i-zapasnye-chasti/turbina-00349-mocc/?sku=155238" TargetMode="External"/><Relationship Id="rId_hyperlink_594" Type="http://schemas.openxmlformats.org/officeDocument/2006/relationships/hyperlink" Target="https://him-auto.ru/pylesosy-pylevodososy-i-zapasnye-chasti/turbina-00397-mocc/" TargetMode="External"/><Relationship Id="rId_hyperlink_595" Type="http://schemas.openxmlformats.org/officeDocument/2006/relationships/hyperlink" Target="https://him-auto.ru/pylesosy-pylevodososy-i-zapasnye-chasti/turbina-00624-momo-s/" TargetMode="External"/><Relationship Id="rId_hyperlink_596" Type="http://schemas.openxmlformats.org/officeDocument/2006/relationships/hyperlink" Target="https://him-auto.ru/pylesosy-pylevodososy-i-zapasnye-chasti/turbina-12-kvt-220-240-dlya-chao-bao-soteco-v1-69-b2-177-d-143/" TargetMode="External"/><Relationship Id="rId_hyperlink_597" Type="http://schemas.openxmlformats.org/officeDocument/2006/relationships/hyperlink" Target="https://him-auto.ru/pylesosy-pylevodososy-i-zapasnye-chasti/turbina-1000-w/" TargetMode="External"/><Relationship Id="rId_hyperlink_598" Type="http://schemas.openxmlformats.org/officeDocument/2006/relationships/hyperlink" Target="https://him-auto.ru/pylesosy-pylevodososy-i-zapasnye-chasti/turbina-1000-w-200215/" TargetMode="External"/><Relationship Id="rId_hyperlink_599" Type="http://schemas.openxmlformats.org/officeDocument/2006/relationships/hyperlink" Target="https://him-auto.ru/pylesosy-pylevodososy-i-zapasnye-chasti/turbina-1000vt-220v-dvuhstadijnaya/" TargetMode="External"/><Relationship Id="rId_hyperlink_600" Type="http://schemas.openxmlformats.org/officeDocument/2006/relationships/hyperlink" Target="https://him-auto.ru/pylesosy-pylevodososy-i-zapasnye-chasti/turbina-1000vt-220vodnostadijnaya/" TargetMode="External"/><Relationship Id="rId_hyperlink_601" Type="http://schemas.openxmlformats.org/officeDocument/2006/relationships/hyperlink" Target="https://him-auto.ru/pylesosy-pylevodososy-i-zapasnye-chasti/turbina-1200-w-400600/" TargetMode="External"/><Relationship Id="rId_hyperlink_602" Type="http://schemas.openxmlformats.org/officeDocument/2006/relationships/hyperlink" Target="https://him-auto.ru/pylesosy-pylevodososy-i-zapasnye-chasti/turbina-1200-w-odnostadijnaya-dlya-soteco-momo40006/" TargetMode="External"/><Relationship Id="rId_hyperlink_603" Type="http://schemas.openxmlformats.org/officeDocument/2006/relationships/hyperlink" Target="https://him-auto.ru/pylesosy-pylevodososy-i-zapasnye-chasti/turbina-1200vt/" TargetMode="External"/><Relationship Id="rId_hyperlink_604" Type="http://schemas.openxmlformats.org/officeDocument/2006/relationships/hyperlink" Target="https://him-auto.ru/pylesosy-pylevodososy-i-zapasnye-chasti/turbina-1200vt-220v-dvuhstadijnaya/" TargetMode="External"/><Relationship Id="rId_hyperlink_605" Type="http://schemas.openxmlformats.org/officeDocument/2006/relationships/hyperlink" Target="https://him-auto.ru/pylesosy-pylevodososy-i-zapasnye-chasti/turbina-1200vt-220v-dvuhstadijnaya-v1-69-b2-177-d-143/" TargetMode="External"/><Relationship Id="rId_hyperlink_606" Type="http://schemas.openxmlformats.org/officeDocument/2006/relationships/hyperlink" Target="https://him-auto.ru/pylesosy-pylevodososy-i-zapasnye-chasti/turbina-1200vt-220v-dvuhstadijnaya-v1-69-b2-177-d-143/?sku=160602" TargetMode="External"/><Relationship Id="rId_hyperlink_607" Type="http://schemas.openxmlformats.org/officeDocument/2006/relationships/hyperlink" Target="https://him-auto.ru/pylesosy-pylevodososy-i-zapasnye-chasti/turbina-1200vt-220vodnostadijnaya/" TargetMode="External"/><Relationship Id="rId_hyperlink_608" Type="http://schemas.openxmlformats.org/officeDocument/2006/relationships/hyperlink" Target="https://him-auto.ru/pylesosy-pylevodososy-i-zapasnye-chasti/turbina-1200vt-220vodnostadijnaya-b1-39-b2-129-d-130/" TargetMode="External"/><Relationship Id="rId_hyperlink_609" Type="http://schemas.openxmlformats.org/officeDocument/2006/relationships/hyperlink" Target="https://him-auto.ru/pylesosy-pylevodososy-i-zapasnye-chasti/turbina-1300w-justo-504/" TargetMode="External"/><Relationship Id="rId_hyperlink_610" Type="http://schemas.openxmlformats.org/officeDocument/2006/relationships/hyperlink" Target="https://him-auto.ru/pylesosy-pylevodososy-i-zapasnye-chasti/turbina-1300vt-220vodnostadijnaya-v1-40-b2-138-d-144/" TargetMode="External"/><Relationship Id="rId_hyperlink_611" Type="http://schemas.openxmlformats.org/officeDocument/2006/relationships/hyperlink" Target="https://him-auto.ru/pylesosy-pylevodososy-i-zapasnye-chasti/turbina-1400vt-220vodnostadijnaya-v1-40-b2-138-d-144/" TargetMode="External"/><Relationship Id="rId_hyperlink_612" Type="http://schemas.openxmlformats.org/officeDocument/2006/relationships/hyperlink" Target="https://him-auto.ru/pylesosy-pylevodososy-i-zapasnye-chasti/turbina-22-kvt-3-h-faznaya/" TargetMode="External"/><Relationship Id="rId_hyperlink_613" Type="http://schemas.openxmlformats.org/officeDocument/2006/relationships/hyperlink" Target="https://him-auto.ru/pylesosy-pylevodososy-i-zapasnye-chasti/turbina-400vt-220v-trehstadijnaya/" TargetMode="External"/><Relationship Id="rId_hyperlink_614" Type="http://schemas.openxmlformats.org/officeDocument/2006/relationships/hyperlink" Target="https://him-auto.ru/pylesosy-pylevodososy-i-zapasnye-chasti/turbina-49141-momo/" TargetMode="External"/><Relationship Id="rId_hyperlink_615" Type="http://schemas.openxmlformats.org/officeDocument/2006/relationships/hyperlink" Target="https://him-auto.ru/pylesosy-pylevodososy-i-zapasnye-chasti/turbina-550vt-24v/" TargetMode="External"/><Relationship Id="rId_hyperlink_616" Type="http://schemas.openxmlformats.org/officeDocument/2006/relationships/hyperlink" Target="https://him-auto.ru/pylesosy-pylevodososy-i-zapasnye-chasti/turbina-750vt-220vodnostadijnaya-b1-45-b2-130-d-140/" TargetMode="External"/><Relationship Id="rId_hyperlink_617" Type="http://schemas.openxmlformats.org/officeDocument/2006/relationships/hyperlink" Target="https://him-auto.ru/pylesosy-pylevodososy-i-zapasnye-chasti/turbina-bs282-1200w-220b-amsterdam-dlya-soteco-serii-hp-v1-40-b2-138-d-144-020047/" TargetMode="External"/><Relationship Id="rId_hyperlink_618" Type="http://schemas.openxmlformats.org/officeDocument/2006/relationships/hyperlink" Target="https://him-auto.ru/pylesosy-pylevodososy-i-zapasnye-chasti/turbina-ecoclean-230v-dlya-yp140020-v1-30-v2-125-d-135/" TargetMode="External"/><Relationship Id="rId_hyperlink_619" Type="http://schemas.openxmlformats.org/officeDocument/2006/relationships/hyperlink" Target="https://him-auto.ru/pylesosy-pylevodososy-i-zapasnye-chasti/turbina-yp140020/" TargetMode="External"/><Relationship Id="rId_hyperlink_620" Type="http://schemas.openxmlformats.org/officeDocument/2006/relationships/hyperlink" Target="https://him-auto.ru/pylesosy-pylevodososy-i-zapasnye-chasti/turbina-yp14006/" TargetMode="External"/><Relationship Id="rId_hyperlink_621" Type="http://schemas.openxmlformats.org/officeDocument/2006/relationships/hyperlink" Target="https://him-auto.ru/pylesosy-pylevodososy-i-zapasnye-chasti/turbina-vysokooborotistaya-1300w-11-me-62/" TargetMode="External"/><Relationship Id="rId_hyperlink_622" Type="http://schemas.openxmlformats.org/officeDocument/2006/relationships/hyperlink" Target="https://him-auto.ru/pylesosy-pylevodososy-i-zapasnye-chasti/turbina-vysokooborotistaya-1300w-11-me-65/" TargetMode="External"/><Relationship Id="rId_hyperlink_623" Type="http://schemas.openxmlformats.org/officeDocument/2006/relationships/hyperlink" Target="https://him-auto.ru/pylesosy-pylevodososy-i-zapasnye-chasti/turbina-vysokooborotnaya-1300w-vysota-1312-mm-diametr-ventilyatora-1294-mm/" TargetMode="External"/><Relationship Id="rId_hyperlink_624" Type="http://schemas.openxmlformats.org/officeDocument/2006/relationships/hyperlink" Target="https://him-auto.ru/pylesosy-pylevodososy-i-zapasnye-chasti/turbina-vysokooborotnaya-1300w-vysota-136-mm-diametr-ventilyatora-1428-mm/" TargetMode="External"/><Relationship Id="rId_hyperlink_625" Type="http://schemas.openxmlformats.org/officeDocument/2006/relationships/hyperlink" Target="https://him-auto.ru/pylesosy-pylevodososy-i-zapasnye-chasti/turbina-dlya-tornado-600-mark/" TargetMode="External"/><Relationship Id="rId_hyperlink_626" Type="http://schemas.openxmlformats.org/officeDocument/2006/relationships/hyperlink" Target="https://him-auto.ru/pylesosy-pylevodososy-i-zapasnye-chasti/turbina-dlya-yp14006-v1-30-v2-115-d-115/" TargetMode="External"/><Relationship Id="rId_hyperlink_627" Type="http://schemas.openxmlformats.org/officeDocument/2006/relationships/hyperlink" Target="https://him-auto.ru/pylesosy-pylevodososy-i-zapasnye-chasti/turbina-odnostadijnaya-1200w-01021-momo/" TargetMode="External"/><Relationship Id="rId_hyperlink_628" Type="http://schemas.openxmlformats.org/officeDocument/2006/relationships/hyperlink" Target="https://him-auto.ru/pylesosy-pylevodososy-i-zapasnye-chasti/turbina-odnostadijnaya-1200w-40006-chg/" TargetMode="External"/><Relationship Id="rId_hyperlink_629" Type="http://schemas.openxmlformats.org/officeDocument/2006/relationships/hyperlink" Target="https://him-auto.ru/pylesosy-pylevodososy-i-zapasnye-chasti/turbina-odnostadijnaya-1200w-jbj-302/" TargetMode="External"/><Relationship Id="rId_hyperlink_630" Type="http://schemas.openxmlformats.org/officeDocument/2006/relationships/hyperlink" Target="https://him-auto.ru/pylesosy-pylevodososy-i-zapasnye-chasti/turbina-odnostadijnaya-1200w-momo40006/" TargetMode="External"/><Relationship Id="rId_hyperlink_631" Type="http://schemas.openxmlformats.org/officeDocument/2006/relationships/hyperlink" Target="https://him-auto.ru/pylesosy-pylevodososy-i-zapasnye-chasti/ugolnaya-shchetka/" TargetMode="External"/><Relationship Id="rId_hyperlink_632" Type="http://schemas.openxmlformats.org/officeDocument/2006/relationships/hyperlink" Target="https://him-auto.ru/pylesosy-pylevodososy-i-zapasnye-chasti/uplotnitel-kryshki-turbiny/" TargetMode="External"/><Relationship Id="rId_hyperlink_633" Type="http://schemas.openxmlformats.org/officeDocument/2006/relationships/hyperlink" Target="https://him-auto.ru/pylesosy-pylevodososy-i-zapasnye-chasti/uplotnitel-kryshki-turbiny/?sku=155185" TargetMode="External"/><Relationship Id="rId_hyperlink_634" Type="http://schemas.openxmlformats.org/officeDocument/2006/relationships/hyperlink" Target="https://him-auto.ru/pylesosy-pylevodososy-i-zapasnye-chasti/fiksator-tornado-200-200-idro/" TargetMode="External"/><Relationship Id="rId_hyperlink_635" Type="http://schemas.openxmlformats.org/officeDocument/2006/relationships/hyperlink" Target="https://him-auto.ru/pylesosy-pylevodososy-i-zapasnye-chasti/filt-sinteponovyj-yp140020/" TargetMode="External"/><Relationship Id="rId_hyperlink_636" Type="http://schemas.openxmlformats.org/officeDocument/2006/relationships/hyperlink" Target="https://him-auto.ru/pylesosy-pylevodososy-i-zapasnye-chasti/filt-sinteponovyj-yp14006/" TargetMode="External"/><Relationship Id="rId_hyperlink_637" Type="http://schemas.openxmlformats.org/officeDocument/2006/relationships/hyperlink" Target="https://him-auto.ru/pylesosy-pylevodososy-i-zapasnye-chasti/filt-sinteponovyj-poliehstarovyj-lp-112-eco/" TargetMode="External"/><Relationship Id="rId_hyperlink_638" Type="http://schemas.openxmlformats.org/officeDocument/2006/relationships/hyperlink" Target="https://him-auto.ru/pylesosy-pylevodososy-i-zapasnye-chasti/filt-sinteponovyj-tkanevyj-lp-112-eco/" TargetMode="External"/><Relationship Id="rId_hyperlink_639" Type="http://schemas.openxmlformats.org/officeDocument/2006/relationships/hyperlink" Target="https://him-auto.ru/pylesosy-pylevodososy-i-zapasnye-chasti/filtr-ciklon-dlya-504-justo/" TargetMode="External"/><Relationship Id="rId_hyperlink_640" Type="http://schemas.openxmlformats.org/officeDocument/2006/relationships/hyperlink" Target="https://him-auto.ru/pylesosy-pylevodososy-i-zapasnye-chasti/filtr-hepa/" TargetMode="External"/><Relationship Id="rId_hyperlink_641" Type="http://schemas.openxmlformats.org/officeDocument/2006/relationships/hyperlink" Target="https://him-auto.ru/pylesosy-pylevodososy-i-zapasnye-chasti/filtr-hepa/?sku=160388" TargetMode="External"/><Relationship Id="rId_hyperlink_642" Type="http://schemas.openxmlformats.org/officeDocument/2006/relationships/hyperlink" Target="https://him-auto.ru/pylesosy-pylevodososy-i-zapasnye-chasti/filtr-hepa-cvc150xh/" TargetMode="External"/><Relationship Id="rId_hyperlink_643" Type="http://schemas.openxmlformats.org/officeDocument/2006/relationships/hyperlink" Target="https://him-auto.ru/pylesosy-pylevodososy-i-zapasnye-chasti/filtr-hepa-cvp130pem/" TargetMode="External"/><Relationship Id="rId_hyperlink_644" Type="http://schemas.openxmlformats.org/officeDocument/2006/relationships/hyperlink" Target="https://him-auto.ru/pylesosy-pylevodososy-i-zapasnye-chasti/filtr-hepa-gofrirovannyj-moyushchijsya-dlya-pyli-klassa-m/" TargetMode="External"/><Relationship Id="rId_hyperlink_645" Type="http://schemas.openxmlformats.org/officeDocument/2006/relationships/hyperlink" Target="https://him-auto.ru/pylesosy-pylevodososy-i-zapasnye-chasti/filtr-vsasyvayushchij-200-200-idro/" TargetMode="External"/><Relationship Id="rId_hyperlink_646" Type="http://schemas.openxmlformats.org/officeDocument/2006/relationships/hyperlink" Target="https://him-auto.ru/pylesosy-pylevodososy-i-zapasnye-chasti/filtr-gofrirovannyj-dlya-suhoj-uborki-as-50/" TargetMode="External"/><Relationship Id="rId_hyperlink_647" Type="http://schemas.openxmlformats.org/officeDocument/2006/relationships/hyperlink" Target="https://him-auto.ru/pylesosy-pylevodososy-i-zapasnye-chasti/filtr-grebenchatyj-hepa-400-600-seriya/" TargetMode="External"/><Relationship Id="rId_hyperlink_648" Type="http://schemas.openxmlformats.org/officeDocument/2006/relationships/hyperlink" Target="https://him-auto.ru/pylesosy-pylevodososy-i-zapasnye-chasti/filtr-grebenchatyj-hepa-dlya-gs-378-02881/" TargetMode="External"/><Relationship Id="rId_hyperlink_649" Type="http://schemas.openxmlformats.org/officeDocument/2006/relationships/hyperlink" Target="https://him-auto.ru/pylesosy-pylevodososy-i-zapasnye-chasti/filtr-grebenchatyj-bumazhnyj-400-600-seriya/" TargetMode="External"/><Relationship Id="rId_hyperlink_650" Type="http://schemas.openxmlformats.org/officeDocument/2006/relationships/hyperlink" Target="https://him-auto.ru/pylesosy-pylevodososy-i-zapasnye-chasti/filtr-grebenchatyj-bumazhnyj-dlya-yvo/" TargetMode="External"/><Relationship Id="rId_hyperlink_651" Type="http://schemas.openxmlformats.org/officeDocument/2006/relationships/hyperlink" Target="https://him-auto.ru/pylesosy-pylevodososy-i-zapasnye-chasti/filtr-grebenchatyj-dlya-504-justo/" TargetMode="External"/><Relationship Id="rId_hyperlink_652" Type="http://schemas.openxmlformats.org/officeDocument/2006/relationships/hyperlink" Target="https://him-auto.ru/pylesosy-pylevodososy-i-zapasnye-chasti/filtr-grebenchatyj-dlya-600-mark-nx-3flow-zheltyj/" TargetMode="External"/><Relationship Id="rId_hyperlink_653" Type="http://schemas.openxmlformats.org/officeDocument/2006/relationships/hyperlink" Target="https://him-auto.ru/pylesosy-pylevodososy-i-zapasnye-chasti/filtr-grebenchatyj-dlya-fox/" TargetMode="External"/><Relationship Id="rId_hyperlink_654" Type="http://schemas.openxmlformats.org/officeDocument/2006/relationships/hyperlink" Target="https://him-auto.ru/pylesosy-pylevodososy-i-zapasnye-chasti/filtr-grebenchatyj-dlya-tornado-ys-1-20-wd-tc/" TargetMode="External"/><Relationship Id="rId_hyperlink_655" Type="http://schemas.openxmlformats.org/officeDocument/2006/relationships/hyperlink" Target="https://him-auto.ru/pylesosy-pylevodososy-i-zapasnye-chasti/filtr-grebenchatyj-nera-dlya-600-mark-nx-3flow/" TargetMode="External"/><Relationship Id="rId_hyperlink_656" Type="http://schemas.openxmlformats.org/officeDocument/2006/relationships/hyperlink" Target="https://him-auto.ru/pylesosy-pylevodososy-i-zapasnye-chasti/filtr-grebenchatyj-poliehstrovyj-400-600-seriya/" TargetMode="External"/><Relationship Id="rId_hyperlink_657" Type="http://schemas.openxmlformats.org/officeDocument/2006/relationships/hyperlink" Target="https://him-auto.ru/pylesosy-pylevodososy-i-zapasnye-chasti/filtr-grebenchatyj-poliehstrovyj-dlya-503-2st/" TargetMode="External"/><Relationship Id="rId_hyperlink_658" Type="http://schemas.openxmlformats.org/officeDocument/2006/relationships/hyperlink" Target="https://him-auto.ru/pylesosy-pylevodososy-i-zapasnye-chasti/filtr-dlya-28251-sppv/" TargetMode="External"/><Relationship Id="rId_hyperlink_659" Type="http://schemas.openxmlformats.org/officeDocument/2006/relationships/hyperlink" Target="https://him-auto.ru/pylesosy-pylevodososy-i-zapasnye-chasti/filtr-dlya-pylesosa-dlya-melkoj-pyli-cm30s/" TargetMode="External"/><Relationship Id="rId_hyperlink_660" Type="http://schemas.openxmlformats.org/officeDocument/2006/relationships/hyperlink" Target="https://him-auto.ru/pylesosy-pylevodososy-i-zapasnye-chasti/filtr-dlya-pylesosa-iz-mikrofibry-5-sht/" TargetMode="External"/><Relationship Id="rId_hyperlink_661" Type="http://schemas.openxmlformats.org/officeDocument/2006/relationships/hyperlink" Target="https://him-auto.ru/pylesosy-pylevodososy-i-zapasnye-chasti/filtr-dlya-pylesosa-moyushchiesya/" TargetMode="External"/><Relationship Id="rId_hyperlink_662" Type="http://schemas.openxmlformats.org/officeDocument/2006/relationships/hyperlink" Target="https://him-auto.ru/pylesosy-pylevodososy-i-zapasnye-chasti/filtr-dlya-pylesosa-moyushchiesya/?sku=160605" TargetMode="External"/><Relationship Id="rId_hyperlink_663" Type="http://schemas.openxmlformats.org/officeDocument/2006/relationships/hyperlink" Target="https://him-auto.ru/pylesosy-pylevodososy-i-zapasnye-chasti/filtr-dlya-pylesosa-moyushchiesya/?sku=160615" TargetMode="External"/><Relationship Id="rId_hyperlink_664" Type="http://schemas.openxmlformats.org/officeDocument/2006/relationships/hyperlink" Target="https://him-auto.ru/pylesosy-pylevodososy-i-zapasnye-chasti/filtr-dlya-pylesosa-moyushchiesya-cvc150xh/" TargetMode="External"/><Relationship Id="rId_hyperlink_665" Type="http://schemas.openxmlformats.org/officeDocument/2006/relationships/hyperlink" Target="https://him-auto.ru/pylesosy-pylevodososy-i-zapasnye-chasti/filtr-zashchitnyj-dlya-pylesosa-elsea/" TargetMode="External"/><Relationship Id="rId_hyperlink_666" Type="http://schemas.openxmlformats.org/officeDocument/2006/relationships/hyperlink" Target="https://him-auto.ru/pylesosy-pylevodososy-i-zapasnye-chasti/filtr-kartridzh-dlya-cvc150xh/" TargetMode="External"/><Relationship Id="rId_hyperlink_667" Type="http://schemas.openxmlformats.org/officeDocument/2006/relationships/hyperlink" Target="https://him-auto.ru/pylesosy-pylevodososy-i-zapasnye-chasti/filtr-kartridzh-dlya-cm-cv-cvp/" TargetMode="External"/><Relationship Id="rId_hyperlink_668" Type="http://schemas.openxmlformats.org/officeDocument/2006/relationships/hyperlink" Target="https://him-auto.ru/pylesosy-pylevodososy-i-zapasnye-chasti/filtr-konicheskij-v-sbore-green-215-515-03241-san/" TargetMode="External"/><Relationship Id="rId_hyperlink_669" Type="http://schemas.openxmlformats.org/officeDocument/2006/relationships/hyperlink" Target="https://him-auto.ru/pylesosy-pylevodososy-i-zapasnye-chasti/filtr-konicheskij-serii-400-423-433-art03240-san/" TargetMode="External"/><Relationship Id="rId_hyperlink_670" Type="http://schemas.openxmlformats.org/officeDocument/2006/relationships/hyperlink" Target="https://him-auto.ru/pylesosy-pylevodososy-i-zapasnye-chasti/filtr-konicheskij-serii-600-623-633-art-03242-san/" TargetMode="External"/><Relationship Id="rId_hyperlink_671" Type="http://schemas.openxmlformats.org/officeDocument/2006/relationships/hyperlink" Target="https://him-auto.ru/pylesosy-pylevodososy-i-zapasnye-chasti/filtr-korzina-dlya-cv-cvp/" TargetMode="External"/><Relationship Id="rId_hyperlink_672" Type="http://schemas.openxmlformats.org/officeDocument/2006/relationships/hyperlink" Target="https://him-auto.ru/pylesosy-pylevodososy-i-zapasnye-chasti/filtr-korzina-s-kolcom/" TargetMode="External"/><Relationship Id="rId_hyperlink_673" Type="http://schemas.openxmlformats.org/officeDocument/2006/relationships/hyperlink" Target="https://him-auto.ru/pylesosy-pylevodososy-i-zapasnye-chasti/filtr-korzina-tkanyj-s-kolcom-cvp265x/" TargetMode="External"/><Relationship Id="rId_hyperlink_674" Type="http://schemas.openxmlformats.org/officeDocument/2006/relationships/hyperlink" Target="https://him-auto.ru/pylesosy-pylevodososy-i-zapasnye-chasti/filtr-korzina-tkanyj-s-kolcom-cvp278-378_cvc278/" TargetMode="External"/><Relationship Id="rId_hyperlink_675" Type="http://schemas.openxmlformats.org/officeDocument/2006/relationships/hyperlink" Target="https://him-auto.ru/pylesosy-pylevodososy-i-zapasnye-chasti/filtr-korzina-tkanyj-s-kolcom-cvp278p_378p/" TargetMode="External"/><Relationship Id="rId_hyperlink_676" Type="http://schemas.openxmlformats.org/officeDocument/2006/relationships/hyperlink" Target="https://him-auto.ru/pylesosy-pylevodososy-i-zapasnye-chasti/filtr-korzinapoliehstr-x-cvp265x/" TargetMode="External"/><Relationship Id="rId_hyperlink_677" Type="http://schemas.openxmlformats.org/officeDocument/2006/relationships/hyperlink" Target="https://him-auto.ru/pylesosy-pylevodososy-i-zapasnye-chasti/filtr-meshok-80l-dlya-cb/" TargetMode="External"/><Relationship Id="rId_hyperlink_678" Type="http://schemas.openxmlformats.org/officeDocument/2006/relationships/hyperlink" Target="https://him-auto.ru/pylesosy-pylevodososy-i-zapasnye-chasti/filtr-meshok-predvaritelnoj-ochistki-iz-nejlona/" TargetMode="External"/><Relationship Id="rId_hyperlink_679" Type="http://schemas.openxmlformats.org/officeDocument/2006/relationships/hyperlink" Target="https://him-auto.ru/pylesosy-pylevodososy-i-zapasnye-chasti/filtr-nejlonovyj-cvc150xh/" TargetMode="External"/><Relationship Id="rId_hyperlink_680" Type="http://schemas.openxmlformats.org/officeDocument/2006/relationships/hyperlink" Target="https://him-auto.ru/pylesosy-pylevodososy-i-zapasnye-chasti/filtr-ochistki-200-200-idro/" TargetMode="External"/><Relationship Id="rId_hyperlink_681" Type="http://schemas.openxmlformats.org/officeDocument/2006/relationships/hyperlink" Target="https://him-auto.ru/pylesosy-pylevodososy-i-zapasnye-chasti/filtr-paket-bumazhnyj-dlya-215-mini-xp-plast-07940/" TargetMode="External"/><Relationship Id="rId_hyperlink_682" Type="http://schemas.openxmlformats.org/officeDocument/2006/relationships/hyperlink" Target="https://him-auto.ru/pylesosy-pylevodososy-i-zapasnye-chasti/filtr-paket-bumazhnyj-dlya-yvo-maxi/" TargetMode="External"/><Relationship Id="rId_hyperlink_683" Type="http://schemas.openxmlformats.org/officeDocument/2006/relationships/hyperlink" Target="https://him-auto.ru/pylesosy-pylevodososy-i-zapasnye-chasti/filtr-poliehsterovyj-fa034/" TargetMode="External"/><Relationship Id="rId_hyperlink_684" Type="http://schemas.openxmlformats.org/officeDocument/2006/relationships/hyperlink" Target="https://him-auto.ru/pylesosy-pylevodososy-i-zapasnye-chasti/filtr-poliehsterovyj-fa044/" TargetMode="External"/><Relationship Id="rId_hyperlink_685" Type="http://schemas.openxmlformats.org/officeDocument/2006/relationships/hyperlink" Target="https://him-auto.ru/pylesosy-pylevodososy-i-zapasnye-chasti/filtr-poliehstrovyj-meshok-ot-02142-ktri-s-03291/" TargetMode="External"/><Relationship Id="rId_hyperlink_686" Type="http://schemas.openxmlformats.org/officeDocument/2006/relationships/hyperlink" Target="https://him-auto.ru/pylesosy-pylevodososy-i-zapasnye-chasti/filtr-porolon-cvc/" TargetMode="External"/><Relationship Id="rId_hyperlink_687" Type="http://schemas.openxmlformats.org/officeDocument/2006/relationships/hyperlink" Target="https://him-auto.ru/pylesosy-pylevodososy-i-zapasnye-chasti/filtr-porolon-cvp/" TargetMode="External"/><Relationship Id="rId_hyperlink_688" Type="http://schemas.openxmlformats.org/officeDocument/2006/relationships/hyperlink" Target="https://him-auto.ru/pylesosy-pylevodososy-i-zapasnye-chasti/filtr-s-penogastitelem-vsbore-tornado-200-idro/" TargetMode="External"/><Relationship Id="rId_hyperlink_689" Type="http://schemas.openxmlformats.org/officeDocument/2006/relationships/hyperlink" Target="https://him-auto.ru/pylesosy-pylevodososy-i-zapasnye-chasti/filtr-sinteponovyj-meshok-ot-28733-ftdp-s-03240-san-i-02949-ktri-03242-san/" TargetMode="External"/><Relationship Id="rId_hyperlink_690" Type="http://schemas.openxmlformats.org/officeDocument/2006/relationships/hyperlink" Target="https://him-auto.ru/pylesosy-pylevodososy-i-zapasnye-chasti/filtr-sinteponovyj-panda-xp-215515/" TargetMode="External"/><Relationship Id="rId_hyperlink_691" Type="http://schemas.openxmlformats.org/officeDocument/2006/relationships/hyperlink" Target="https://him-auto.ru/pylesosy-pylevodososy-i-zapasnye-chasti/filtr-sinteponovyj-planet-50-meshok/" TargetMode="External"/><Relationship Id="rId_hyperlink_692" Type="http://schemas.openxmlformats.org/officeDocument/2006/relationships/hyperlink" Target="https://him-auto.ru/pylesosy-pylevodososy-i-zapasnye-chasti/filtr-sinteponovyj-tornado-200/" TargetMode="External"/><Relationship Id="rId_hyperlink_693" Type="http://schemas.openxmlformats.org/officeDocument/2006/relationships/hyperlink" Target="https://him-auto.ru/pylesosy-pylevodososy-i-zapasnye-chasti/filtr-sinteponovyj-tornado-300/" TargetMode="External"/><Relationship Id="rId_hyperlink_694" Type="http://schemas.openxmlformats.org/officeDocument/2006/relationships/hyperlink" Target="https://him-auto.ru/pylesosy-pylevodososy-i-zapasnye-chasti/filtr-sinteponovyj-tornado-v-640-m/" TargetMode="External"/><Relationship Id="rId_hyperlink_695" Type="http://schemas.openxmlformats.org/officeDocument/2006/relationships/hyperlink" Target="https://him-auto.ru/pylesosy-pylevodososy-i-zapasnye-chasti/filtr-sinteponovyj-tornado-v-640-m-meshok/" TargetMode="External"/><Relationship Id="rId_hyperlink_696" Type="http://schemas.openxmlformats.org/officeDocument/2006/relationships/hyperlink" Target="https://him-auto.ru/pylesosy-pylevodososy-i-zapasnye-chasti/filtr-sinteponovyj-tornado-panda-215-503/" TargetMode="External"/><Relationship Id="rId_hyperlink_697" Type="http://schemas.openxmlformats.org/officeDocument/2006/relationships/hyperlink" Target="https://him-auto.ru/pylesosy-pylevodososy-i-zapasnye-chasti/filtr-sinteponovyj-tornado-panda-423-429-433-629-700/" TargetMode="External"/><Relationship Id="rId_hyperlink_698" Type="http://schemas.openxmlformats.org/officeDocument/2006/relationships/hyperlink" Target="https://him-auto.ru/pylesosy-pylevodososy-i-zapasnye-chasti/filtr-sinteponovyj-tornado-panda-623-633-640/" TargetMode="External"/><Relationship Id="rId_hyperlink_699" Type="http://schemas.openxmlformats.org/officeDocument/2006/relationships/hyperlink" Target="https://him-auto.ru/pylesosy-pylevodososy-i-zapasnye-chasti/filtr-so-skladkami-iz-poliehfira-dlya-vys-temp-180&#176;c-2m&#178;-klass-m/" TargetMode="External"/><Relationship Id="rId_hyperlink_700" Type="http://schemas.openxmlformats.org/officeDocument/2006/relationships/hyperlink" Target="https://him-auto.ru/pylesosy-pylevodososy-i-zapasnye-chasti/filtr-tkanevyj-dlya-bf-580-3-bez-karkasa/" TargetMode="External"/><Relationship Id="rId_hyperlink_701" Type="http://schemas.openxmlformats.org/officeDocument/2006/relationships/hyperlink" Target="https://him-auto.ru/pylesosy-pylevodososy-i-zapasnye-chasti/filtr-tkanevyj-dlya-pylesosa/" TargetMode="External"/><Relationship Id="rId_hyperlink_702" Type="http://schemas.openxmlformats.org/officeDocument/2006/relationships/hyperlink" Target="https://him-auto.ru/pylesosy-pylevodososy-i-zapasnye-chasti/filtr-tkanyj-s-kolcom-cvc150xh/" TargetMode="External"/><Relationship Id="rId_hyperlink_703" Type="http://schemas.openxmlformats.org/officeDocument/2006/relationships/hyperlink" Target="https://him-auto.ru/pylesosy-pylevodososy-i-zapasnye-chasti/filtr-tonkoj-ochistki-poliehsterovyj-justo/" TargetMode="External"/><Relationship Id="rId_hyperlink_704" Type="http://schemas.openxmlformats.org/officeDocument/2006/relationships/hyperlink" Target="https://him-auto.ru/pylesosy-pylevodososy-i-zapasnye-chasti/filtr-tonkoj-ochistki-poliehsterovyj-dlya-423-633-06061/" TargetMode="External"/><Relationship Id="rId_hyperlink_705" Type="http://schemas.openxmlformats.org/officeDocument/2006/relationships/hyperlink" Target="https://him-auto.ru/pylesosy-pylevodososy-i-zapasnye-chasti/filtr-turbiny/" TargetMode="External"/><Relationship Id="rId_hyperlink_706" Type="http://schemas.openxmlformats.org/officeDocument/2006/relationships/hyperlink" Target="https://him-auto.ru/pylesosy-pylevodososy-i-zapasnye-chasti/filtr-turbiny-200-idro/" TargetMode="External"/><Relationship Id="rId_hyperlink_707" Type="http://schemas.openxmlformats.org/officeDocument/2006/relationships/hyperlink" Target="https://him-auto.ru/pylesosy-pylevodososy-i-zapasnye-chasti/filtr-ugolnyj-cvp130pem/" TargetMode="External"/><Relationship Id="rId_hyperlink_708" Type="http://schemas.openxmlformats.org/officeDocument/2006/relationships/hyperlink" Target="https://him-auto.ru/pylesosy-pylevodososy-i-zapasnye-chasti/filtr-hb-materchatyj-dlya-leo/" TargetMode="External"/><Relationship Id="rId_hyperlink_709" Type="http://schemas.openxmlformats.org/officeDocument/2006/relationships/hyperlink" Target="https://him-auto.ru/pylesosy-pylevodososy-i-zapasnye-chasti/filtr-meshok-bumazhnyj-dlya-203-215/" TargetMode="External"/><Relationship Id="rId_hyperlink_710" Type="http://schemas.openxmlformats.org/officeDocument/2006/relationships/hyperlink" Target="https://him-auto.ru/pylesosy-pylevodososy-i-zapasnye-chasti/filtr-korzina-konicheskij-poliehsterovyj-dlya-baka-30-l-dlya-bf575-bez-karkasa/" TargetMode="External"/><Relationship Id="rId_hyperlink_711" Type="http://schemas.openxmlformats.org/officeDocument/2006/relationships/hyperlink" Target="https://him-auto.ru/pylesosy-pylevodososy-i-zapasnye-chasti/filtr-korzina-konicheskij-poliehsterovyj-dlya-baka-60-80-l-bez-karkasa/" TargetMode="External"/><Relationship Id="rId_hyperlink_712" Type="http://schemas.openxmlformats.org/officeDocument/2006/relationships/hyperlink" Target="https://him-auto.ru/pylesosy-pylevodososy-i-zapasnye-chasti/filtr-meshok-bumazhnyj-02875-dlya-423-429-433-623-629-633-640/" TargetMode="External"/><Relationship Id="rId_hyperlink_713" Type="http://schemas.openxmlformats.org/officeDocument/2006/relationships/hyperlink" Target="https://him-auto.ru/pylesosy-pylevodososy-i-zapasnye-chasti/filtr-meshok-mikrovolokno-green-panda-mirage-nevada-tofnado-modeli-203215-sr-225/" TargetMode="External"/><Relationship Id="rId_hyperlink_714" Type="http://schemas.openxmlformats.org/officeDocument/2006/relationships/hyperlink" Target="https://him-auto.ru/pylesosy-pylevodososy-i-zapasnye-chasti/forsunka-plastikovaya-dlya-nasadki-28251-sppv/" TargetMode="External"/><Relationship Id="rId_hyperlink_715" Type="http://schemas.openxmlformats.org/officeDocument/2006/relationships/hyperlink" Target="https://him-auto.ru/pylesosy-pylevodososy-i-zapasnye-chasti/forsunka-plastikovaya-dlya-nasadki-86380-mpvr/" TargetMode="External"/><Relationship Id="rId_hyperlink_716" Type="http://schemas.openxmlformats.org/officeDocument/2006/relationships/hyperlink" Target="https://him-auto.ru/pylesosy-pylevodososy-i-zapasnye-chasti/centrovik-turbiny/" TargetMode="External"/><Relationship Id="rId_hyperlink_717" Type="http://schemas.openxmlformats.org/officeDocument/2006/relationships/hyperlink" Target="https://him-auto.ru/pylesosy-pylevodososy-i-zapasnye-chasti/chast-filtra-tornado-200-200-idro/" TargetMode="External"/><Relationship Id="rId_hyperlink_718" Type="http://schemas.openxmlformats.org/officeDocument/2006/relationships/hyperlink" Target="https://him-auto.ru/pylesosy-pylevodososy-i-zapasnye-chasti/shajba-tornado-200-idro/" TargetMode="External"/><Relationship Id="rId_hyperlink_719" Type="http://schemas.openxmlformats.org/officeDocument/2006/relationships/hyperlink" Target="https://him-auto.ru/pylesosy-pylevodososy-i-zapasnye-chasti/shajba-dlya-telezhki-pylesosa/" TargetMode="External"/><Relationship Id="rId_hyperlink_720" Type="http://schemas.openxmlformats.org/officeDocument/2006/relationships/hyperlink" Target="https://him-auto.ru/pylesosy-pylevodososy-i-zapasnye-chasti/shajba-dlya-yubki-pylesosa/" TargetMode="External"/><Relationship Id="rId_hyperlink_721" Type="http://schemas.openxmlformats.org/officeDocument/2006/relationships/hyperlink" Target="https://him-auto.ru/pylesosy-pylevodososy-i-zapasnye-chasti/shlang-15-m-trubka-dlya-pylesosov-cm20s-cm30s-&#248;-35/" TargetMode="External"/><Relationship Id="rId_hyperlink_722" Type="http://schemas.openxmlformats.org/officeDocument/2006/relationships/hyperlink" Target="https://him-auto.ru/pylesosy-pylevodososy-i-zapasnye-chasti/shlang-25m-dlina-38mm-diametr/" TargetMode="External"/><Relationship Id="rId_hyperlink_723" Type="http://schemas.openxmlformats.org/officeDocument/2006/relationships/hyperlink" Target="https://him-auto.ru/pylesosy-pylevodososy-i-zapasnye-chasti/shlang-2m-dlina-36mm-diametr/" TargetMode="External"/><Relationship Id="rId_hyperlink_724" Type="http://schemas.openxmlformats.org/officeDocument/2006/relationships/hyperlink" Target="https://him-auto.ru/pylesosy-pylevodososy-i-zapasnye-chasti/shlang-3m-dlina-36mm-diametr/" TargetMode="External"/><Relationship Id="rId_hyperlink_725" Type="http://schemas.openxmlformats.org/officeDocument/2006/relationships/hyperlink" Target="https://him-auto.ru/pylesosy-pylevodososy-i-zapasnye-chasti/shlang-45m-dlina-38mm-diametr/" TargetMode="External"/><Relationship Id="rId_hyperlink_726" Type="http://schemas.openxmlformats.org/officeDocument/2006/relationships/hyperlink" Target="https://him-auto.ru/pylesosy-pylevodososy-i-zapasnye-chasti/shlang-d38-40-buhta-20-metrov-00082-ne20comp-chernyjkratno-25m/" TargetMode="External"/><Relationship Id="rId_hyperlink_727" Type="http://schemas.openxmlformats.org/officeDocument/2006/relationships/hyperlink" Target="https://him-auto.ru/pylesosy-pylevodososy-i-zapasnye-chasti/shlang-flex-s-pokrytiem-1-m-&#248;-35-dlya-ca18s/" TargetMode="External"/><Relationship Id="rId_hyperlink_728" Type="http://schemas.openxmlformats.org/officeDocument/2006/relationships/hyperlink" Target="https://him-auto.ru/pylesosy-pylevodososy-i-zapasnye-chasti/shlang-flex-s-pokrytiem-1-m-&#248;-35-dlya-ca18s/?sku=160587" TargetMode="External"/><Relationship Id="rId_hyperlink_729" Type="http://schemas.openxmlformats.org/officeDocument/2006/relationships/hyperlink" Target="https://him-auto.ru/pylesosy-pylevodososy-i-zapasnye-chasti/shlang-antistaticheskij-&#248;50-bez-konnektorov-v-metrah/" TargetMode="External"/><Relationship Id="rId_hyperlink_730" Type="http://schemas.openxmlformats.org/officeDocument/2006/relationships/hyperlink" Target="https://him-auto.ru/pylesosy-pylevodososy-i-zapasnye-chasti/shlang-v-sbore-dlya-pylesosa-2m-d36-dlya-203-215-justo-idro/" TargetMode="External"/><Relationship Id="rId_hyperlink_731" Type="http://schemas.openxmlformats.org/officeDocument/2006/relationships/hyperlink" Target="https://him-auto.ru/pylesosy-pylevodososy-i-zapasnye-chasti/shlang-vakuumnyj-d38-buhta-20-m-seryj/" TargetMode="External"/><Relationship Id="rId_hyperlink_732" Type="http://schemas.openxmlformats.org/officeDocument/2006/relationships/hyperlink" Target="https://him-auto.ru/pylesosy-pylevodososy-i-zapasnye-chasti/shlang-vakuumnyj-d38-buhta-20-m-sinij/" TargetMode="External"/><Relationship Id="rId_hyperlink_733" Type="http://schemas.openxmlformats.org/officeDocument/2006/relationships/hyperlink" Target="https://him-auto.ru/pylesosy-pylevodososy-i-zapasnye-chasti/shlang-vakuumnyj-dlya-pylesosa-chernyj-buhta-20-m-d38mm/" TargetMode="External"/><Relationship Id="rId_hyperlink_734" Type="http://schemas.openxmlformats.org/officeDocument/2006/relationships/hyperlink" Target="https://him-auto.ru/pylesosy-pylevodososy-i-zapasnye-chasti/shlang-vakuumnyj-dlya-pylesosa-chernyj-buhta-20-m-o-38-mm/" TargetMode="External"/><Relationship Id="rId_hyperlink_735" Type="http://schemas.openxmlformats.org/officeDocument/2006/relationships/hyperlink" Target="https://him-auto.ru/pylesosy-pylevodososy-i-zapasnye-chasti/shlang-vakuumnyj-dlya-pylesosa-chernyj-buhta-30-m-d36mm/" TargetMode="External"/><Relationship Id="rId_hyperlink_736" Type="http://schemas.openxmlformats.org/officeDocument/2006/relationships/hyperlink" Target="https://him-auto.ru/pylesosy-pylevodososy-i-zapasnye-chasti/shlang-vakuumnyj-dlya-pylesosa-chernyj-buhta-30-m-d38mm/" TargetMode="External"/><Relationship Id="rId_hyperlink_737" Type="http://schemas.openxmlformats.org/officeDocument/2006/relationships/hyperlink" Target="https://him-auto.ru/pylesosy-pylevodososy-i-zapasnye-chasti/shlang-vakuumnyj-dlya-ehkstraktora/" TargetMode="External"/><Relationship Id="rId_hyperlink_738" Type="http://schemas.openxmlformats.org/officeDocument/2006/relationships/hyperlink" Target="https://him-auto.ru/pylesosy-pylevodososy-i-zapasnye-chasti/shlang-vsasyvayushchij-metrazhom-d36-36mmkratno-25m/" TargetMode="External"/><Relationship Id="rId_hyperlink_739" Type="http://schemas.openxmlformats.org/officeDocument/2006/relationships/hyperlink" Target="https://him-auto.ru/pylesosy-pylevodososy-i-zapasnye-chasti/shlang-vsasyvayushchij-metrazhom-d40-38mm-kratno-25m/" TargetMode="External"/><Relationship Id="rId_hyperlink_740" Type="http://schemas.openxmlformats.org/officeDocument/2006/relationships/hyperlink" Target="https://him-auto.ru/pylesosy-pylevodososy-i-zapasnye-chasti/shlang-dlya-planet-152-25m-dlina-50mm-diametr/" TargetMode="External"/><Relationship Id="rId_hyperlink_741" Type="http://schemas.openxmlformats.org/officeDocument/2006/relationships/hyperlink" Target="https://him-auto.ru/pylesosy-pylevodososy-i-zapasnye-chasti/shlang-dlya-v-640-m-25m-dlina-38mm-diametr/" TargetMode="External"/><Relationship Id="rId_hyperlink_742" Type="http://schemas.openxmlformats.org/officeDocument/2006/relationships/hyperlink" Target="https://him-auto.ru/pylesosy-pylevodososy-i-zapasnye-chasti/shlang-dlya-yp14006/" TargetMode="External"/><Relationship Id="rId_hyperlink_743" Type="http://schemas.openxmlformats.org/officeDocument/2006/relationships/hyperlink" Target="https://him-auto.ru/pylesosy-pylevodososy-i-zapasnye-chasti/shlang-dlya-yvo-36mm/" TargetMode="External"/><Relationship Id="rId_hyperlink_744" Type="http://schemas.openxmlformats.org/officeDocument/2006/relationships/hyperlink" Target="https://him-auto.ru/pylesosy-pylevodososy-i-zapasnye-chasti/shlang-dlya-podachi-himii-dlya-tornado-200-v-sbore/" TargetMode="External"/><Relationship Id="rId_hyperlink_745" Type="http://schemas.openxmlformats.org/officeDocument/2006/relationships/hyperlink" Target="https://him-auto.ru/pylesosy-pylevodososy-i-zapasnye-chasti/shlang-dlya-pylesosa&#248;-40-mm-buhta-30-metrovkratno-25m/" TargetMode="External"/><Relationship Id="rId_hyperlink_746" Type="http://schemas.openxmlformats.org/officeDocument/2006/relationships/hyperlink" Target="https://him-auto.ru/pylesosy-pylevodososy-i-zapasnye-chasti/shlang-dlya-himchistki-v-sbore-gibkij-shlang-shlang-dlya-podachi-himii-zazhimy-4-sht/" TargetMode="External"/><Relationship Id="rId_hyperlink_747" Type="http://schemas.openxmlformats.org/officeDocument/2006/relationships/hyperlink" Target="https://him-auto.ru/pylesosy-pylevodososy-i-zapasnye-chasti/shlang-dlya-himchistki-200-2m-dlina-36mm-diametr/" TargetMode="External"/><Relationship Id="rId_hyperlink_748" Type="http://schemas.openxmlformats.org/officeDocument/2006/relationships/hyperlink" Target="https://him-auto.ru/pylesosy-pylevodososy-i-zapasnye-chasti/shlang-dlya-himchistki-700-25m-dlina-38mm-diametr/" TargetMode="External"/><Relationship Id="rId_hyperlink_749" Type="http://schemas.openxmlformats.org/officeDocument/2006/relationships/hyperlink" Target="https://him-auto.ru/pylesosy-pylevodososy-i-zapasnye-chasti/shlang-iz-metalla-15-m-trubka-dlya-pylesosov-cm20s-cm30s-&#248;-35/" TargetMode="External"/><Relationship Id="rId_hyperlink_750" Type="http://schemas.openxmlformats.org/officeDocument/2006/relationships/hyperlink" Target="https://him-auto.ru/pylesosy-pylevodososy-i-zapasnye-chasti/shlang-metrazhom-d36-plastik-buhta-20-m-00624g20comp/" TargetMode="External"/><Relationship Id="rId_hyperlink_751" Type="http://schemas.openxmlformats.org/officeDocument/2006/relationships/hyperlink" Target="https://him-auto.ru/pylesosy-pylevodososy-i-zapasnye-chasti/shlang-metrazhom-d38-40-plastik-seryj-0008220compkratno-25m/" TargetMode="External"/><Relationship Id="rId_hyperlink_752" Type="http://schemas.openxmlformats.org/officeDocument/2006/relationships/hyperlink" Target="https://him-auto.ru/pylesosy-pylevodososy-i-zapasnye-chasti/shlang-plastikovyj-1-m-trubka-dlya-pylesosov-cm20s-cm30s-&#248;-35/" TargetMode="External"/><Relationship Id="rId_hyperlink_753" Type="http://schemas.openxmlformats.org/officeDocument/2006/relationships/hyperlink" Target="https://him-auto.ru/pylesosy-pylevodososy-i-zapasnye-chasti/shlang-s-konnektorami-10-m-&#248;-40/" TargetMode="External"/><Relationship Id="rId_hyperlink_754" Type="http://schemas.openxmlformats.org/officeDocument/2006/relationships/hyperlink" Target="https://him-auto.ru/pylesosy-pylevodososy-i-zapasnye-chasti/shlang-s-konnektorami-2-m-&#248;-35/" TargetMode="External"/><Relationship Id="rId_hyperlink_755" Type="http://schemas.openxmlformats.org/officeDocument/2006/relationships/hyperlink" Target="https://him-auto.ru/pylesosy-pylevodososy-i-zapasnye-chasti/shlang-s-konnektorami-2-m-s-izognutoj-ruchkoj-&#248;-35-mm/" TargetMode="External"/><Relationship Id="rId_hyperlink_756" Type="http://schemas.openxmlformats.org/officeDocument/2006/relationships/hyperlink" Target="https://him-auto.ru/pylesosy-pylevodososy-i-zapasnye-chasti/shlang-s-konnektorami-2-m-s-izognutoj-ruchkoj-&#248;-35-mm/?sku=160534" TargetMode="External"/><Relationship Id="rId_hyperlink_757" Type="http://schemas.openxmlformats.org/officeDocument/2006/relationships/hyperlink" Target="https://him-auto.ru/pylesosy-pylevodososy-i-zapasnye-chasti/shlang-s-konnektorami-25-m-&#248;-35-cv20/" TargetMode="External"/><Relationship Id="rId_hyperlink_758" Type="http://schemas.openxmlformats.org/officeDocument/2006/relationships/hyperlink" Target="https://him-auto.ru/pylesosy-pylevodososy-i-zapasnye-chasti/shlang-s-konnektorami-25-m-&#248;-40/" TargetMode="External"/><Relationship Id="rId_hyperlink_759" Type="http://schemas.openxmlformats.org/officeDocument/2006/relationships/hyperlink" Target="https://him-auto.ru/pylesosy-pylevodososy-i-zapasnye-chasti/shlang-s-konnektorami-25-m-&#248;-40/?sku=160576" TargetMode="External"/><Relationship Id="rId_hyperlink_760" Type="http://schemas.openxmlformats.org/officeDocument/2006/relationships/hyperlink" Target="https://him-auto.ru/pylesosy-pylevodososy-i-zapasnye-chasti/shlang-s-konnektorami-25-m-s-izognutoj-ruchkoj-&#248;-35-mm-cvp120-130/" TargetMode="External"/><Relationship Id="rId_hyperlink_761" Type="http://schemas.openxmlformats.org/officeDocument/2006/relationships/hyperlink" Target="https://him-auto.ru/pylesosy-pylevodososy-i-zapasnye-chasti/shlang-s-konnektorami-3-m-&#248;-40-mm/" TargetMode="External"/><Relationship Id="rId_hyperlink_762" Type="http://schemas.openxmlformats.org/officeDocument/2006/relationships/hyperlink" Target="https://him-auto.ru/pylesosy-pylevodososy-i-zapasnye-chasti/shlang-s-konnektorami-4-m-&#248;-35-cv20x-cv30x/" TargetMode="External"/><Relationship Id="rId_hyperlink_763" Type="http://schemas.openxmlformats.org/officeDocument/2006/relationships/hyperlink" Target="https://him-auto.ru/pylesosy-pylevodososy-i-zapasnye-chasti/shlang-s-konnektorami-4-m-&#248;-35-dlya-cvp130pem/" TargetMode="External"/><Relationship Id="rId_hyperlink_764" Type="http://schemas.openxmlformats.org/officeDocument/2006/relationships/hyperlink" Target="https://him-auto.ru/pylesosy-pylevodososy-i-zapasnye-chasti/shlang-s-konnektorami-5-metrov-&#248;-35/" TargetMode="External"/><Relationship Id="rId_hyperlink_765" Type="http://schemas.openxmlformats.org/officeDocument/2006/relationships/hyperlink" Target="https://him-auto.ru/pylesosy-pylevodososy-i-zapasnye-chasti/shlang-s-konnektorami-5-metrov-s-izognutoj-ruchkoj-&#248;-35/" TargetMode="External"/><Relationship Id="rId_hyperlink_766" Type="http://schemas.openxmlformats.org/officeDocument/2006/relationships/hyperlink" Target="https://him-auto.ru/pylesosy-pylevodososy-i-zapasnye-chasti/shlang-s-podachej-moyushchego-sredstva-d36-2-m/" TargetMode="External"/><Relationship Id="rId_hyperlink_767" Type="http://schemas.openxmlformats.org/officeDocument/2006/relationships/hyperlink" Target="https://him-auto.ru/pylesosy-pylevodososy-i-zapasnye-chasti/shlang-s-podachej-moyushchego-sredstva-d38/" TargetMode="External"/><Relationship Id="rId_hyperlink_768" Type="http://schemas.openxmlformats.org/officeDocument/2006/relationships/hyperlink" Target="https://him-auto.ru/pylesosy-pylevodososy-i-zapasnye-chasti/shtucer-dlya-pylesosov-bak-shlang-o-38-mm/" TargetMode="External"/><Relationship Id="rId_hyperlink_769" Type="http://schemas.openxmlformats.org/officeDocument/2006/relationships/hyperlink" Target="https://him-auto.ru/pylesosy-pylevodososy-i-zapasnye-chasti/shchelevaya-nasadka-&#248;-35/" TargetMode="External"/><Relationship Id="rId_hyperlink_770" Type="http://schemas.openxmlformats.org/officeDocument/2006/relationships/hyperlink" Target="https://him-auto.ru/pylesosy-pylevodososy-i-zapasnye-chasti/shchelevaya-nasadka-&#248;-40/" TargetMode="External"/><Relationship Id="rId_hyperlink_771" Type="http://schemas.openxmlformats.org/officeDocument/2006/relationships/hyperlink" Target="https://him-auto.ru/pylesosy-pylevodososy-i-zapasnye-chasti/shchelevaya-nasadka-kruglyj-nakonechnik-iz-antistaticheskoj-reziny-&#248;-50/" TargetMode="External"/><Relationship Id="rId_hyperlink_772" Type="http://schemas.openxmlformats.org/officeDocument/2006/relationships/hyperlink" Target="https://him-auto.ru/pylesosy-pylevodososy-i-zapasnye-chasti/shchelevaya-nasadka-s-patrubkom-&#248;-50/" TargetMode="External"/><Relationship Id="rId_hyperlink_773" Type="http://schemas.openxmlformats.org/officeDocument/2006/relationships/hyperlink" Target="https://him-auto.ru/pylesosy-pylevodososy-i-zapasnye-chasti/shchetina-zadnyaya-dlya-balki-0041r/" TargetMode="External"/><Relationship Id="rId_hyperlink_774" Type="http://schemas.openxmlformats.org/officeDocument/2006/relationships/hyperlink" Target="https://him-auto.ru/pylesosy-pylevodososy-i-zapasnye-chasti/shchetina-perednyaya-dlya-balki-0041r/" TargetMode="External"/><Relationship Id="rId_hyperlink_775" Type="http://schemas.openxmlformats.org/officeDocument/2006/relationships/hyperlink" Target="https://him-auto.ru/pylesosy-pylevodososy-i-zapasnye-chasti/shchetka-dlya-yp14006/" TargetMode="External"/><Relationship Id="rId_hyperlink_776" Type="http://schemas.openxmlformats.org/officeDocument/2006/relationships/hyperlink" Target="https://him-auto.ru/pylesosy-pylevodososy-i-zapasnye-chasti/shchetka-dlya-pylesosa-kruglaya-d-36mm/" TargetMode="External"/><Relationship Id="rId_hyperlink_777" Type="http://schemas.openxmlformats.org/officeDocument/2006/relationships/hyperlink" Target="https://him-auto.ru/pylesosy-pylevodososy-i-zapasnye-chasti/shchetka-dlya-pylesosa-kruglaya-d-40mm/" TargetMode="External"/><Relationship Id="rId_hyperlink_778" Type="http://schemas.openxmlformats.org/officeDocument/2006/relationships/hyperlink" Target="https://him-auto.ru/pylesosy-pylevodososy-i-zapasnye-chasti/shchetka-dlya-pylesosa-kruglaya-d-50mm/" TargetMode="External"/><Relationship Id="rId_hyperlink_779" Type="http://schemas.openxmlformats.org/officeDocument/2006/relationships/hyperlink" Target="https://him-auto.ru/pylesosy-pylevodososy-i-zapasnye-chasti/shchetka-dlya-uborki-pola-yp140020/" TargetMode="External"/><Relationship Id="rId_hyperlink_780" Type="http://schemas.openxmlformats.org/officeDocument/2006/relationships/hyperlink" Target="https://him-auto.ru/pylesosy-pylevodososy-i-zapasnye-chasti/shchetka-kruglaya-dlya-fox/" TargetMode="External"/><Relationship Id="rId_hyperlink_781" Type="http://schemas.openxmlformats.org/officeDocument/2006/relationships/hyperlink" Target="https://him-auto.ru/pylesosy-pylevodososy-i-zapasnye-chasti/shchetka-kruglaya-dlya-yvo-36mm-diametr/" TargetMode="External"/><Relationship Id="rId_hyperlink_782" Type="http://schemas.openxmlformats.org/officeDocument/2006/relationships/hyperlink" Target="https://him-auto.ru/pylesosy-pylevodososy-i-zapasnye-chasti/shchetka-kruglaya-36mm-diametr/" TargetMode="External"/><Relationship Id="rId_hyperlink_783" Type="http://schemas.openxmlformats.org/officeDocument/2006/relationships/hyperlink" Target="https://him-auto.ru/pylesosy-pylevodososy-i-zapasnye-chasti/shchetka-kruglaya-38mm-diametr/" TargetMode="External"/><Relationship Id="rId_hyperlink_784" Type="http://schemas.openxmlformats.org/officeDocument/2006/relationships/hyperlink" Target="https://him-auto.ru/pylesosy-pylevodososy-i-zapasnye-chasti/shchetka-napolnaya-s-rez-styazhkami-50mm-diametr/" TargetMode="External"/><Relationship Id="rId_hyperlink_785" Type="http://schemas.openxmlformats.org/officeDocument/2006/relationships/hyperlink" Target="https://him-auto.ru/pylesosy-pylevodososy-i-zapasnye-chasti/shchetka-s-rez-styazhkami-36mm-diametr/" TargetMode="External"/><Relationship Id="rId_hyperlink_786" Type="http://schemas.openxmlformats.org/officeDocument/2006/relationships/hyperlink" Target="https://him-auto.ru/pylesosy-pylevodososy-i-zapasnye-chasti/shchetka-s-rez-styazhkami-38mm-diametr/" TargetMode="External"/><Relationship Id="rId_hyperlink_787" Type="http://schemas.openxmlformats.org/officeDocument/2006/relationships/hyperlink" Target="https://him-auto.ru/pylesosy-pylevodososy-i-zapasnye-chasti/shchetka-s-shchet-styazhkami-36mm-diametr/" TargetMode="External"/><Relationship Id="rId_hyperlink_788" Type="http://schemas.openxmlformats.org/officeDocument/2006/relationships/hyperlink" Target="https://him-auto.ru/pylesosy-pylevodososy-i-zapasnye-chasti/shchetka-s-shchet-styazhkami-38mm-diametr/" TargetMode="External"/><Relationship Id="rId_hyperlink_789" Type="http://schemas.openxmlformats.org/officeDocument/2006/relationships/hyperlink" Target="https://him-auto.ru/pylesosy-pylevodososy-i-zapasnye-chasti/shchetka-turbo-&#8220;vortex&#8221;/" TargetMode="External"/><Relationship Id="rId_hyperlink_790" Type="http://schemas.openxmlformats.org/officeDocument/2006/relationships/hyperlink" Target="https://him-auto.ru/pylesosy-pylevodososy-i-zapasnye-chasti/shchetka-ugolnaya-dlya-chg-11me06c/" TargetMode="External"/><Relationship Id="rId_hyperlink_791" Type="http://schemas.openxmlformats.org/officeDocument/2006/relationships/hyperlink" Target="https://him-auto.ru/pylesosy-pylevodososy-i-zapasnye-chasti/shchetka-ugolnaya-dlya-chg-cg03/" TargetMode="External"/><Relationship Id="rId_hyperlink_792" Type="http://schemas.openxmlformats.org/officeDocument/2006/relationships/hyperlink" Target="https://him-auto.ru/pylesosy-pylevodososy-i-zapasnye-chasti/shchetka-ugolnaya-dlya-chg-cg23/" TargetMode="External"/><Relationship Id="rId_hyperlink_793" Type="http://schemas.openxmlformats.org/officeDocument/2006/relationships/hyperlink" Target="https://him-auto.ru/pylesosy-pylevodososy-i-zapasnye-chasti/shchetka-ugolnaya-dlya-chg-cg58/" TargetMode="External"/><Relationship Id="rId_hyperlink_794" Type="http://schemas.openxmlformats.org/officeDocument/2006/relationships/hyperlink" Target="https://him-auto.ru/pylesosy-pylevodososy-i-zapasnye-chasti/shchetka-ugolnaya-dlya-chg-momo4000620047/" TargetMode="External"/><Relationship Id="rId_hyperlink_795" Type="http://schemas.openxmlformats.org/officeDocument/2006/relationships/hyperlink" Target="https://him-auto.ru/pylesosy-pylevodososy-i-zapasnye-chasti/shchetka-ugolnaya-dlya-odnostadijnoj-turbiny/" TargetMode="External"/><Relationship Id="rId_hyperlink_796" Type="http://schemas.openxmlformats.org/officeDocument/2006/relationships/hyperlink" Target="https://him-auto.ru/pylesosy-pylevodososy-i-zapasnye-chasti/shchetka-nasadka-s-pereklyucheniem-kover-pol-dlya-yvo-36mm-diametr/" TargetMode="External"/><Relationship Id="rId_hyperlink_797" Type="http://schemas.openxmlformats.org/officeDocument/2006/relationships/hyperlink" Target="https://him-auto.ru/pylesosy-pylevodososy-i-zapasnye-chasti/shchetka-nasadka-s-pereklyucheniem-kover-pol-36mm-diametr/" TargetMode="External"/><Relationship Id="rId_hyperlink_798" Type="http://schemas.openxmlformats.org/officeDocument/2006/relationships/hyperlink" Target="https://him-auto.ru/pylesosy-pylevodososy-i-zapasnye-chasti/ehl-plata-dlya-tornado-50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0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  <col min="8" max="8" width="10" customWidth="true" style="0"/>
  </cols>
  <sheetData>
    <row r="1" spans="1:8">
      <c r="A1" s="1"/>
      <c r="B1" t="s">
        <v>0</v>
      </c>
    </row>
    <row r="2" spans="1:8">
      <c r="B2" t="s">
        <v>1</v>
      </c>
    </row>
    <row r="5" spans="1:8">
      <c r="A5" t="s">
        <v>2</v>
      </c>
    </row>
    <row r="6" spans="1:8">
      <c r="A6" s="17" t="s">
        <v>3</v>
      </c>
      <c r="B6" s="2"/>
      <c r="C6" s="2"/>
      <c r="D6" s="2"/>
      <c r="E6" s="16"/>
      <c r="F6" s="11"/>
      <c r="G6" s="11"/>
      <c r="H6" s="19"/>
    </row>
    <row r="7" spans="1:8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4" t="s">
        <v>9</v>
      </c>
      <c r="G7" s="12" t="s">
        <v>10</v>
      </c>
      <c r="H7" s="3" t="s">
        <v>11</v>
      </c>
    </row>
    <row r="8" spans="1:8" outlineLevel="1">
      <c r="A8" s="18">
        <v>1</v>
      </c>
      <c r="B8" s="9"/>
      <c r="C8" s="10" t="s">
        <v>12</v>
      </c>
      <c r="D8" s="10" t="s">
        <v>13</v>
      </c>
      <c r="E8" s="8">
        <v>1000.0</v>
      </c>
      <c r="F8" s="15">
        <v>14500.0</v>
      </c>
      <c r="G8" s="13">
        <f>F8*8</f>
        <v>116000</v>
      </c>
      <c r="H8" s="18" t="s">
        <v>14</v>
      </c>
    </row>
    <row r="9" spans="1:8" outlineLevel="1">
      <c r="A9" s="18">
        <v>2</v>
      </c>
      <c r="B9" s="9" t="s">
        <v>15</v>
      </c>
      <c r="C9" s="10" t="s">
        <v>16</v>
      </c>
      <c r="D9" s="10" t="s">
        <v>17</v>
      </c>
      <c r="E9" s="8">
        <v>1000.0</v>
      </c>
      <c r="F9" s="15">
        <v>14500.0</v>
      </c>
      <c r="G9" s="13">
        <f>F9*9</f>
        <v>130500</v>
      </c>
      <c r="H9" s="18" t="s">
        <v>14</v>
      </c>
    </row>
    <row r="10" spans="1:8" outlineLevel="1">
      <c r="A10" s="18">
        <v>3</v>
      </c>
      <c r="B10" s="9" t="s">
        <v>18</v>
      </c>
      <c r="C10" s="10" t="s">
        <v>19</v>
      </c>
      <c r="D10" s="10" t="s">
        <v>20</v>
      </c>
      <c r="E10" s="8">
        <v>1000.0</v>
      </c>
      <c r="F10" s="15">
        <v>28857.0</v>
      </c>
      <c r="G10" s="13">
        <f>F10*10</f>
        <v>288570</v>
      </c>
      <c r="H10" s="18" t="s">
        <v>14</v>
      </c>
    </row>
    <row r="11" spans="1:8" outlineLevel="1">
      <c r="A11" s="18">
        <v>4</v>
      </c>
      <c r="B11" s="9" t="s">
        <v>21</v>
      </c>
      <c r="C11" s="10" t="s">
        <v>21</v>
      </c>
      <c r="D11" s="10" t="s">
        <v>22</v>
      </c>
      <c r="E11" s="8" t="s">
        <v>23</v>
      </c>
      <c r="F11" s="15">
        <v>23715.0</v>
      </c>
      <c r="G11" s="13">
        <f>F11*11</f>
        <v>260865</v>
      </c>
      <c r="H11" s="18" t="s">
        <v>14</v>
      </c>
    </row>
    <row r="12" spans="1:8" outlineLevel="1">
      <c r="A12" s="18">
        <v>5</v>
      </c>
      <c r="B12" s="9" t="s">
        <v>24</v>
      </c>
      <c r="C12" s="10" t="s">
        <v>25</v>
      </c>
      <c r="D12" s="10" t="s">
        <v>26</v>
      </c>
      <c r="E12" s="8">
        <v>1000.0</v>
      </c>
      <c r="F12" s="15">
        <v>34063.0</v>
      </c>
      <c r="G12" s="13">
        <f>F12*12</f>
        <v>408756</v>
      </c>
      <c r="H12" s="18" t="s">
        <v>14</v>
      </c>
    </row>
    <row r="13" spans="1:8" outlineLevel="1">
      <c r="A13" s="18">
        <v>6</v>
      </c>
      <c r="B13" s="9" t="s">
        <v>27</v>
      </c>
      <c r="C13" s="10" t="s">
        <v>28</v>
      </c>
      <c r="D13" s="10" t="s">
        <v>29</v>
      </c>
      <c r="E13" s="8">
        <v>1000.0</v>
      </c>
      <c r="F13" s="15">
        <v>18783.0</v>
      </c>
      <c r="G13" s="13">
        <f>F13*13</f>
        <v>244179</v>
      </c>
      <c r="H13" s="18" t="s">
        <v>14</v>
      </c>
    </row>
    <row r="14" spans="1:8" outlineLevel="1">
      <c r="A14" s="18">
        <v>7</v>
      </c>
      <c r="B14" s="9" t="s">
        <v>30</v>
      </c>
      <c r="C14" s="10" t="s">
        <v>31</v>
      </c>
      <c r="D14" s="10" t="s">
        <v>32</v>
      </c>
      <c r="E14" s="8">
        <v>1000.0</v>
      </c>
      <c r="F14" s="15">
        <v>29197.0</v>
      </c>
      <c r="G14" s="13">
        <f>F14*14</f>
        <v>408758</v>
      </c>
      <c r="H14" s="18" t="s">
        <v>14</v>
      </c>
    </row>
    <row r="15" spans="1:8" outlineLevel="1">
      <c r="A15" s="18">
        <v>8</v>
      </c>
      <c r="B15" s="9" t="s">
        <v>33</v>
      </c>
      <c r="C15" s="10" t="s">
        <v>34</v>
      </c>
      <c r="D15" s="10" t="s">
        <v>35</v>
      </c>
      <c r="E15" s="8">
        <v>1000.0</v>
      </c>
      <c r="F15" s="15">
        <v>51215.0</v>
      </c>
      <c r="G15" s="13">
        <f>F15*15</f>
        <v>768225</v>
      </c>
      <c r="H15" s="18" t="s">
        <v>14</v>
      </c>
    </row>
    <row r="16" spans="1:8" outlineLevel="1">
      <c r="A16" s="18">
        <v>9</v>
      </c>
      <c r="B16" s="9" t="s">
        <v>36</v>
      </c>
      <c r="C16" s="10" t="s">
        <v>37</v>
      </c>
      <c r="D16" s="10" t="s">
        <v>38</v>
      </c>
      <c r="E16" s="8">
        <v>1000.0</v>
      </c>
      <c r="F16" s="15">
        <v>58503.0</v>
      </c>
      <c r="G16" s="13">
        <f>F16*16</f>
        <v>936048</v>
      </c>
      <c r="H16" s="18" t="s">
        <v>14</v>
      </c>
    </row>
    <row r="17" spans="1:8" outlineLevel="1">
      <c r="A17" s="18">
        <v>10</v>
      </c>
      <c r="B17" s="9" t="s">
        <v>39</v>
      </c>
      <c r="C17" s="10" t="s">
        <v>40</v>
      </c>
      <c r="D17" s="10" t="s">
        <v>41</v>
      </c>
      <c r="E17" s="8">
        <v>1000.0</v>
      </c>
      <c r="F17" s="15">
        <v>29197.0</v>
      </c>
      <c r="G17" s="13">
        <f>F17*17</f>
        <v>496349</v>
      </c>
      <c r="H17" s="18" t="s">
        <v>14</v>
      </c>
    </row>
    <row r="18" spans="1:8" outlineLevel="1">
      <c r="A18" s="18">
        <v>11</v>
      </c>
      <c r="B18" s="9" t="s">
        <v>42</v>
      </c>
      <c r="C18" s="10" t="s">
        <v>43</v>
      </c>
      <c r="D18" s="10" t="s">
        <v>44</v>
      </c>
      <c r="E18" s="8">
        <v>1000.0</v>
      </c>
      <c r="F18" s="15">
        <v>30534.0</v>
      </c>
      <c r="G18" s="13">
        <f>F18*18</f>
        <v>549612</v>
      </c>
      <c r="H18" s="18" t="s">
        <v>14</v>
      </c>
    </row>
    <row r="19" spans="1:8" outlineLevel="1">
      <c r="A19" s="18">
        <v>12</v>
      </c>
      <c r="B19" s="9" t="s">
        <v>45</v>
      </c>
      <c r="C19" s="10" t="s">
        <v>46</v>
      </c>
      <c r="D19" s="10" t="s">
        <v>47</v>
      </c>
      <c r="E19" s="8">
        <v>1000.0</v>
      </c>
      <c r="F19" s="15">
        <v>58503.0</v>
      </c>
      <c r="G19" s="13">
        <f>F19*19</f>
        <v>1111557</v>
      </c>
      <c r="H19" s="18" t="s">
        <v>14</v>
      </c>
    </row>
    <row r="20" spans="1:8" outlineLevel="1">
      <c r="A20" s="18">
        <v>13</v>
      </c>
      <c r="B20" s="9" t="s">
        <v>48</v>
      </c>
      <c r="C20" s="10" t="s">
        <v>49</v>
      </c>
      <c r="D20" s="10" t="s">
        <v>50</v>
      </c>
      <c r="E20" s="8">
        <v>1000.0</v>
      </c>
      <c r="F20" s="15">
        <v>101037.0</v>
      </c>
      <c r="G20" s="13">
        <f>F20*20</f>
        <v>2020740</v>
      </c>
      <c r="H20" s="18" t="s">
        <v>14</v>
      </c>
    </row>
    <row r="21" spans="1:8" outlineLevel="1">
      <c r="A21" s="18">
        <v>14</v>
      </c>
      <c r="B21" s="9" t="s">
        <v>51</v>
      </c>
      <c r="C21" s="10" t="s">
        <v>52</v>
      </c>
      <c r="D21" s="10" t="s">
        <v>53</v>
      </c>
      <c r="E21" s="8">
        <v>1000.0</v>
      </c>
      <c r="F21" s="15">
        <v>42927.0</v>
      </c>
      <c r="G21" s="13">
        <f>F21*21</f>
        <v>901467</v>
      </c>
      <c r="H21" s="18" t="s">
        <v>14</v>
      </c>
    </row>
    <row r="22" spans="1:8" outlineLevel="1">
      <c r="A22" s="18">
        <v>15</v>
      </c>
      <c r="B22" s="9" t="s">
        <v>54</v>
      </c>
      <c r="C22" s="10" t="s">
        <v>55</v>
      </c>
      <c r="D22" s="10" t="s">
        <v>56</v>
      </c>
      <c r="E22" s="8">
        <v>1000.0</v>
      </c>
      <c r="F22" s="15">
        <v>51617.0</v>
      </c>
      <c r="G22" s="13">
        <f>F22*22</f>
        <v>1135574</v>
      </c>
      <c r="H22" s="18" t="s">
        <v>14</v>
      </c>
    </row>
    <row r="23" spans="1:8" outlineLevel="1">
      <c r="A23" s="18">
        <v>16</v>
      </c>
      <c r="B23" s="9" t="s">
        <v>57</v>
      </c>
      <c r="C23" s="10" t="s">
        <v>58</v>
      </c>
      <c r="D23" s="10" t="s">
        <v>59</v>
      </c>
      <c r="E23" s="8">
        <v>1000.0</v>
      </c>
      <c r="F23" s="15">
        <v>48236.0</v>
      </c>
      <c r="G23" s="13">
        <f>F23*23</f>
        <v>1109428</v>
      </c>
      <c r="H23" s="18" t="s">
        <v>14</v>
      </c>
    </row>
    <row r="24" spans="1:8" outlineLevel="1">
      <c r="A24" s="18">
        <v>17</v>
      </c>
      <c r="B24" s="9" t="s">
        <v>60</v>
      </c>
      <c r="C24" s="10" t="s">
        <v>61</v>
      </c>
      <c r="D24" s="10" t="s">
        <v>62</v>
      </c>
      <c r="E24" s="8">
        <v>1000.0</v>
      </c>
      <c r="F24" s="15">
        <v>14855.0</v>
      </c>
      <c r="G24" s="13">
        <f>F24*24</f>
        <v>356520</v>
      </c>
      <c r="H24" s="18" t="s">
        <v>14</v>
      </c>
    </row>
    <row r="25" spans="1:8" outlineLevel="1">
      <c r="A25" s="18">
        <v>18</v>
      </c>
      <c r="B25" s="9" t="s">
        <v>63</v>
      </c>
      <c r="C25" s="10" t="s">
        <v>64</v>
      </c>
      <c r="D25" s="10" t="s">
        <v>65</v>
      </c>
      <c r="E25" s="8">
        <v>1000.0</v>
      </c>
      <c r="F25" s="15">
        <v>17690.0</v>
      </c>
      <c r="G25" s="13">
        <f>F25*25</f>
        <v>442250</v>
      </c>
      <c r="H25" s="18" t="s">
        <v>14</v>
      </c>
    </row>
    <row r="26" spans="1:8" outlineLevel="1">
      <c r="A26" s="18">
        <v>19</v>
      </c>
      <c r="B26" s="9" t="s">
        <v>66</v>
      </c>
      <c r="C26" s="10" t="s">
        <v>67</v>
      </c>
      <c r="D26" s="10" t="s">
        <v>68</v>
      </c>
      <c r="E26" s="8">
        <v>1000.0</v>
      </c>
      <c r="F26" s="15">
        <v>16241.0</v>
      </c>
      <c r="G26" s="13">
        <f>F26*26</f>
        <v>422266</v>
      </c>
      <c r="H26" s="18" t="s">
        <v>14</v>
      </c>
    </row>
    <row r="27" spans="1:8" outlineLevel="1">
      <c r="A27" s="18">
        <v>20</v>
      </c>
      <c r="B27" s="9" t="s">
        <v>69</v>
      </c>
      <c r="C27" s="10" t="s">
        <v>70</v>
      </c>
      <c r="D27" s="10" t="s">
        <v>71</v>
      </c>
      <c r="E27" s="8">
        <v>1000.0</v>
      </c>
      <c r="F27" s="15">
        <v>18074.0</v>
      </c>
      <c r="G27" s="13">
        <f>F27*27</f>
        <v>487998</v>
      </c>
      <c r="H27" s="18" t="s">
        <v>14</v>
      </c>
    </row>
    <row r="28" spans="1:8" outlineLevel="1">
      <c r="A28" s="18">
        <v>21</v>
      </c>
      <c r="B28" s="9" t="s">
        <v>72</v>
      </c>
      <c r="C28" s="10" t="s">
        <v>73</v>
      </c>
      <c r="D28" s="10" t="s">
        <v>74</v>
      </c>
      <c r="E28" s="8">
        <v>1000.0</v>
      </c>
      <c r="F28" s="15">
        <v>16168.0</v>
      </c>
      <c r="G28" s="13">
        <f>F28*28</f>
        <v>452704</v>
      </c>
      <c r="H28" s="18" t="s">
        <v>14</v>
      </c>
    </row>
    <row r="29" spans="1:8" outlineLevel="1">
      <c r="A29" s="18">
        <v>22</v>
      </c>
      <c r="B29" s="9" t="s">
        <v>75</v>
      </c>
      <c r="C29" s="10" t="s">
        <v>76</v>
      </c>
      <c r="D29" s="10" t="s">
        <v>77</v>
      </c>
      <c r="E29" s="8">
        <v>1000.0</v>
      </c>
      <c r="F29" s="15">
        <v>18448.0</v>
      </c>
      <c r="G29" s="13">
        <f>F29*29</f>
        <v>534992</v>
      </c>
      <c r="H29" s="18" t="s">
        <v>14</v>
      </c>
    </row>
    <row r="30" spans="1:8" outlineLevel="1">
      <c r="A30" s="18">
        <v>23</v>
      </c>
      <c r="B30" s="9" t="s">
        <v>78</v>
      </c>
      <c r="C30" s="10" t="s">
        <v>79</v>
      </c>
      <c r="D30" s="10" t="s">
        <v>80</v>
      </c>
      <c r="E30" s="8">
        <v>1000.0</v>
      </c>
      <c r="F30" s="15">
        <v>52119.0</v>
      </c>
      <c r="G30" s="13">
        <f>F30*30</f>
        <v>1563570</v>
      </c>
      <c r="H30" s="18" t="s">
        <v>14</v>
      </c>
    </row>
    <row r="31" spans="1:8" outlineLevel="1">
      <c r="A31" s="18">
        <v>24</v>
      </c>
      <c r="B31" s="9" t="s">
        <v>81</v>
      </c>
      <c r="C31" s="10" t="s">
        <v>82</v>
      </c>
      <c r="D31" s="10" t="s">
        <v>83</v>
      </c>
      <c r="E31" s="8">
        <v>1000.0</v>
      </c>
      <c r="F31" s="15">
        <v>32336.0</v>
      </c>
      <c r="G31" s="13">
        <f>F31*31</f>
        <v>1002416</v>
      </c>
      <c r="H31" s="18" t="s">
        <v>14</v>
      </c>
    </row>
    <row r="32" spans="1:8" outlineLevel="1">
      <c r="A32" s="18">
        <v>25</v>
      </c>
      <c r="B32" s="9" t="s">
        <v>84</v>
      </c>
      <c r="C32" s="10" t="s">
        <v>85</v>
      </c>
      <c r="D32" s="10" t="s">
        <v>86</v>
      </c>
      <c r="E32" s="8">
        <v>1000.0</v>
      </c>
      <c r="F32" s="15">
        <v>35889.0</v>
      </c>
      <c r="G32" s="13">
        <f>F32*32</f>
        <v>1148448</v>
      </c>
      <c r="H32" s="18" t="s">
        <v>14</v>
      </c>
    </row>
    <row r="33" spans="1:8" outlineLevel="1">
      <c r="A33" s="18">
        <v>26</v>
      </c>
      <c r="B33" s="9" t="s">
        <v>87</v>
      </c>
      <c r="C33" s="10" t="s">
        <v>88</v>
      </c>
      <c r="D33" s="10" t="s">
        <v>89</v>
      </c>
      <c r="E33" s="8">
        <v>1000.0</v>
      </c>
      <c r="F33" s="15">
        <v>35297.0</v>
      </c>
      <c r="G33" s="13">
        <f>F33*33</f>
        <v>1164801</v>
      </c>
      <c r="H33" s="18" t="s">
        <v>14</v>
      </c>
    </row>
    <row r="34" spans="1:8" outlineLevel="1">
      <c r="A34" s="18">
        <v>27</v>
      </c>
      <c r="B34" s="9" t="s">
        <v>90</v>
      </c>
      <c r="C34" s="10" t="s">
        <v>91</v>
      </c>
      <c r="D34" s="10" t="s">
        <v>92</v>
      </c>
      <c r="E34" s="8">
        <v>1000.0</v>
      </c>
      <c r="F34" s="15">
        <v>34611.0</v>
      </c>
      <c r="G34" s="13">
        <f>F34*34</f>
        <v>1176774</v>
      </c>
      <c r="H34" s="18" t="s">
        <v>14</v>
      </c>
    </row>
    <row r="35" spans="1:8" outlineLevel="1">
      <c r="A35" s="18">
        <v>28</v>
      </c>
      <c r="B35" s="9" t="s">
        <v>93</v>
      </c>
      <c r="C35" s="10" t="s">
        <v>94</v>
      </c>
      <c r="D35" s="10" t="s">
        <v>95</v>
      </c>
      <c r="E35" s="8">
        <v>1000.0</v>
      </c>
      <c r="F35" s="15">
        <v>63502.0</v>
      </c>
      <c r="G35" s="13">
        <f>F35*35</f>
        <v>2222570</v>
      </c>
      <c r="H35" s="18" t="s">
        <v>14</v>
      </c>
    </row>
    <row r="36" spans="1:8" outlineLevel="1">
      <c r="A36" s="18">
        <v>29</v>
      </c>
      <c r="B36" s="9" t="s">
        <v>96</v>
      </c>
      <c r="C36" s="10" t="s">
        <v>97</v>
      </c>
      <c r="D36" s="10" t="s">
        <v>98</v>
      </c>
      <c r="E36" s="8">
        <v>1000.0</v>
      </c>
      <c r="F36" s="15">
        <v>114463.0</v>
      </c>
      <c r="G36" s="13">
        <f>F36*36</f>
        <v>4120668</v>
      </c>
      <c r="H36" s="18" t="s">
        <v>14</v>
      </c>
    </row>
    <row r="37" spans="1:8" outlineLevel="1">
      <c r="A37" s="18">
        <v>30</v>
      </c>
      <c r="B37" s="9" t="s">
        <v>99</v>
      </c>
      <c r="C37" s="10" t="s">
        <v>100</v>
      </c>
      <c r="D37" s="10" t="s">
        <v>101</v>
      </c>
      <c r="E37" s="8">
        <v>1000.0</v>
      </c>
      <c r="F37" s="15">
        <v>207069.0</v>
      </c>
      <c r="G37" s="13">
        <f>F37*37</f>
        <v>7661553</v>
      </c>
      <c r="H37" s="18" t="s">
        <v>14</v>
      </c>
    </row>
    <row r="38" spans="1:8" outlineLevel="1">
      <c r="A38" s="18">
        <v>31</v>
      </c>
      <c r="B38" s="9" t="s">
        <v>102</v>
      </c>
      <c r="C38" s="10" t="s">
        <v>102</v>
      </c>
      <c r="D38" s="10" t="s">
        <v>103</v>
      </c>
      <c r="E38" s="8" t="s">
        <v>23</v>
      </c>
      <c r="F38" s="15">
        <v>2550.0</v>
      </c>
      <c r="G38" s="13">
        <f>F38*38</f>
        <v>96900</v>
      </c>
      <c r="H38" s="18" t="s">
        <v>14</v>
      </c>
    </row>
    <row r="39" spans="1:8" outlineLevel="1">
      <c r="A39" s="18">
        <v>32</v>
      </c>
      <c r="B39" s="9" t="s">
        <v>104</v>
      </c>
      <c r="C39" s="10" t="s">
        <v>105</v>
      </c>
      <c r="D39" s="10" t="s">
        <v>106</v>
      </c>
      <c r="E39" s="8">
        <v>1000.0</v>
      </c>
      <c r="F39" s="15">
        <v>14559.0</v>
      </c>
      <c r="G39" s="13">
        <f>F39*39</f>
        <v>567801</v>
      </c>
      <c r="H39" s="18" t="s">
        <v>14</v>
      </c>
    </row>
    <row r="40" spans="1:8" outlineLevel="1">
      <c r="A40" s="18">
        <v>33</v>
      </c>
      <c r="B40" s="9" t="s">
        <v>107</v>
      </c>
      <c r="C40" s="10" t="s">
        <v>108</v>
      </c>
      <c r="D40" s="10" t="s">
        <v>109</v>
      </c>
      <c r="E40" s="8">
        <v>1000.0</v>
      </c>
      <c r="F40" s="15">
        <v>9417.0</v>
      </c>
      <c r="G40" s="13">
        <f>F40*40</f>
        <v>376680</v>
      </c>
      <c r="H40" s="18" t="s">
        <v>14</v>
      </c>
    </row>
    <row r="41" spans="1:8" outlineLevel="1">
      <c r="A41" s="18">
        <v>34</v>
      </c>
      <c r="B41" s="9" t="s">
        <v>110</v>
      </c>
      <c r="C41" s="10" t="s">
        <v>111</v>
      </c>
      <c r="D41" s="10" t="s">
        <v>112</v>
      </c>
      <c r="E41" s="8">
        <v>1000.0</v>
      </c>
      <c r="F41" s="15">
        <v>8128.0</v>
      </c>
      <c r="G41" s="13">
        <f>F41*41</f>
        <v>333248</v>
      </c>
      <c r="H41" s="18" t="s">
        <v>14</v>
      </c>
    </row>
    <row r="42" spans="1:8" outlineLevel="1">
      <c r="A42" s="18">
        <v>35</v>
      </c>
      <c r="B42" s="9" t="s">
        <v>113</v>
      </c>
      <c r="C42" s="10" t="s">
        <v>114</v>
      </c>
      <c r="D42" s="10" t="s">
        <v>115</v>
      </c>
      <c r="E42" s="8" t="s">
        <v>23</v>
      </c>
      <c r="F42" s="15">
        <v>2292.0</v>
      </c>
      <c r="G42" s="13">
        <f>F42*42</f>
        <v>96264</v>
      </c>
      <c r="H42" s="18" t="s">
        <v>14</v>
      </c>
    </row>
    <row r="43" spans="1:8" outlineLevel="1">
      <c r="A43" s="18">
        <v>36</v>
      </c>
      <c r="B43" s="9" t="s">
        <v>116</v>
      </c>
      <c r="C43" s="10" t="s">
        <v>114</v>
      </c>
      <c r="D43" s="10" t="s">
        <v>117</v>
      </c>
      <c r="E43" s="8" t="s">
        <v>23</v>
      </c>
      <c r="F43" s="15">
        <v>2622.0</v>
      </c>
      <c r="G43" s="13">
        <f>F43*43</f>
        <v>112746</v>
      </c>
      <c r="H43" s="18" t="s">
        <v>14</v>
      </c>
    </row>
    <row r="44" spans="1:8" outlineLevel="1">
      <c r="A44" s="18">
        <v>37</v>
      </c>
      <c r="B44" s="9" t="s">
        <v>118</v>
      </c>
      <c r="C44" s="10" t="s">
        <v>119</v>
      </c>
      <c r="D44" s="10" t="s">
        <v>120</v>
      </c>
      <c r="E44" s="8">
        <v>1000.0</v>
      </c>
      <c r="F44" s="15">
        <v>0.0</v>
      </c>
      <c r="G44" s="13">
        <f>F44*44</f>
        <v>0</v>
      </c>
      <c r="H44" s="18" t="s">
        <v>14</v>
      </c>
    </row>
    <row r="45" spans="1:8" outlineLevel="1">
      <c r="A45" s="18">
        <v>38</v>
      </c>
      <c r="B45" s="9" t="s">
        <v>121</v>
      </c>
      <c r="C45" s="10" t="s">
        <v>122</v>
      </c>
      <c r="D45" s="10" t="s">
        <v>123</v>
      </c>
      <c r="E45" s="8" t="s">
        <v>23</v>
      </c>
      <c r="F45" s="15">
        <v>7640.0</v>
      </c>
      <c r="G45" s="13">
        <f>F45*45</f>
        <v>343800</v>
      </c>
      <c r="H45" s="18" t="s">
        <v>14</v>
      </c>
    </row>
    <row r="46" spans="1:8" outlineLevel="1">
      <c r="A46" s="18">
        <v>39</v>
      </c>
      <c r="B46" s="9" t="s">
        <v>124</v>
      </c>
      <c r="C46" s="10" t="s">
        <v>125</v>
      </c>
      <c r="D46" s="10" t="s">
        <v>126</v>
      </c>
      <c r="E46" s="8" t="s">
        <v>23</v>
      </c>
      <c r="F46" s="15">
        <v>7265.0</v>
      </c>
      <c r="G46" s="13">
        <f>F46*46</f>
        <v>334190</v>
      </c>
      <c r="H46" s="18" t="s">
        <v>14</v>
      </c>
    </row>
    <row r="47" spans="1:8" outlineLevel="1">
      <c r="A47" s="18">
        <v>40</v>
      </c>
      <c r="B47" s="9" t="s">
        <v>127</v>
      </c>
      <c r="C47" s="10" t="s">
        <v>128</v>
      </c>
      <c r="D47" s="10" t="s">
        <v>129</v>
      </c>
      <c r="E47" s="8" t="s">
        <v>23</v>
      </c>
      <c r="F47" s="15">
        <v>13973.0</v>
      </c>
      <c r="G47" s="13">
        <f>F47*47</f>
        <v>656731</v>
      </c>
      <c r="H47" s="18" t="s">
        <v>14</v>
      </c>
    </row>
    <row r="48" spans="1:8" outlineLevel="1">
      <c r="A48" s="18">
        <v>41</v>
      </c>
      <c r="B48" s="9" t="s">
        <v>130</v>
      </c>
      <c r="C48" s="10" t="s">
        <v>131</v>
      </c>
      <c r="D48" s="10" t="s">
        <v>132</v>
      </c>
      <c r="E48" s="8" t="s">
        <v>23</v>
      </c>
      <c r="F48" s="15">
        <v>12249.0</v>
      </c>
      <c r="G48" s="13">
        <f>F48*48</f>
        <v>587952</v>
      </c>
      <c r="H48" s="18" t="s">
        <v>14</v>
      </c>
    </row>
    <row r="49" spans="1:8" outlineLevel="1">
      <c r="A49" s="18">
        <v>42</v>
      </c>
      <c r="B49" s="9" t="s">
        <v>133</v>
      </c>
      <c r="C49" s="10" t="s">
        <v>134</v>
      </c>
      <c r="D49" s="10" t="s">
        <v>135</v>
      </c>
      <c r="E49" s="8" t="s">
        <v>23</v>
      </c>
      <c r="F49" s="15">
        <v>6670.0</v>
      </c>
      <c r="G49" s="13">
        <f>F49*49</f>
        <v>326830</v>
      </c>
      <c r="H49" s="18" t="s">
        <v>14</v>
      </c>
    </row>
    <row r="50" spans="1:8" outlineLevel="1">
      <c r="A50" s="18">
        <v>43</v>
      </c>
      <c r="B50" s="9" t="s">
        <v>136</v>
      </c>
      <c r="C50" s="10" t="s">
        <v>137</v>
      </c>
      <c r="D50" s="10" t="s">
        <v>138</v>
      </c>
      <c r="E50" s="8" t="s">
        <v>23</v>
      </c>
      <c r="F50" s="15">
        <v>10980.0</v>
      </c>
      <c r="G50" s="13">
        <f>F50*50</f>
        <v>549000</v>
      </c>
      <c r="H50" s="18" t="s">
        <v>14</v>
      </c>
    </row>
    <row r="51" spans="1:8" outlineLevel="1">
      <c r="A51" s="18">
        <v>44</v>
      </c>
      <c r="B51" s="9" t="s">
        <v>139</v>
      </c>
      <c r="C51" s="10" t="s">
        <v>140</v>
      </c>
      <c r="D51" s="10" t="s">
        <v>141</v>
      </c>
      <c r="E51" s="8" t="s">
        <v>23</v>
      </c>
      <c r="F51" s="15">
        <v>2584.0</v>
      </c>
      <c r="G51" s="13">
        <f>F51*51</f>
        <v>131784</v>
      </c>
      <c r="H51" s="18" t="s">
        <v>14</v>
      </c>
    </row>
    <row r="52" spans="1:8" outlineLevel="1">
      <c r="A52" s="18">
        <v>45</v>
      </c>
      <c r="B52" s="9" t="s">
        <v>142</v>
      </c>
      <c r="C52" s="10" t="s">
        <v>143</v>
      </c>
      <c r="D52" s="10" t="s">
        <v>144</v>
      </c>
      <c r="E52" s="8" t="s">
        <v>23</v>
      </c>
      <c r="F52" s="15">
        <v>6826.0</v>
      </c>
      <c r="G52" s="13">
        <f>F52*52</f>
        <v>354952</v>
      </c>
      <c r="H52" s="18" t="s">
        <v>14</v>
      </c>
    </row>
    <row r="53" spans="1:8" outlineLevel="1">
      <c r="A53" s="18">
        <v>46</v>
      </c>
      <c r="B53" s="9" t="s">
        <v>145</v>
      </c>
      <c r="C53" s="10" t="s">
        <v>146</v>
      </c>
      <c r="D53" s="10" t="s">
        <v>147</v>
      </c>
      <c r="E53" s="8" t="s">
        <v>23</v>
      </c>
      <c r="F53" s="15">
        <v>16754.0</v>
      </c>
      <c r="G53" s="13">
        <f>F53*53</f>
        <v>887962</v>
      </c>
      <c r="H53" s="18" t="s">
        <v>14</v>
      </c>
    </row>
    <row r="54" spans="1:8" outlineLevel="1">
      <c r="A54" s="18">
        <v>47</v>
      </c>
      <c r="B54" s="9" t="s">
        <v>148</v>
      </c>
      <c r="C54" s="10" t="s">
        <v>149</v>
      </c>
      <c r="D54" s="10" t="s">
        <v>150</v>
      </c>
      <c r="E54" s="8" t="s">
        <v>23</v>
      </c>
      <c r="F54" s="15">
        <v>2117.0</v>
      </c>
      <c r="G54" s="13">
        <f>F54*54</f>
        <v>114318</v>
      </c>
      <c r="H54" s="18" t="s">
        <v>14</v>
      </c>
    </row>
    <row r="55" spans="1:8" outlineLevel="1">
      <c r="A55" s="18">
        <v>48</v>
      </c>
      <c r="B55" s="9" t="s">
        <v>151</v>
      </c>
      <c r="C55" s="10" t="s">
        <v>152</v>
      </c>
      <c r="D55" s="10" t="s">
        <v>153</v>
      </c>
      <c r="E55" s="8" t="s">
        <v>23</v>
      </c>
      <c r="F55" s="15">
        <v>6463.0</v>
      </c>
      <c r="G55" s="13">
        <f>F55*55</f>
        <v>355465</v>
      </c>
      <c r="H55" s="18" t="s">
        <v>14</v>
      </c>
    </row>
    <row r="56" spans="1:8" outlineLevel="1">
      <c r="A56" s="18">
        <v>49</v>
      </c>
      <c r="B56" s="9" t="s">
        <v>154</v>
      </c>
      <c r="C56" s="10" t="s">
        <v>155</v>
      </c>
      <c r="D56" s="10" t="s">
        <v>156</v>
      </c>
      <c r="E56" s="8">
        <v>1000.0</v>
      </c>
      <c r="F56" s="15">
        <v>9656.0</v>
      </c>
      <c r="G56" s="13">
        <f>F56*56</f>
        <v>540736</v>
      </c>
      <c r="H56" s="18" t="s">
        <v>14</v>
      </c>
    </row>
    <row r="57" spans="1:8" outlineLevel="1">
      <c r="A57" s="18">
        <v>50</v>
      </c>
      <c r="B57" s="9" t="s">
        <v>157</v>
      </c>
      <c r="C57" s="10" t="s">
        <v>158</v>
      </c>
      <c r="D57" s="10" t="s">
        <v>159</v>
      </c>
      <c r="E57" s="8" t="s">
        <v>23</v>
      </c>
      <c r="F57" s="15">
        <v>13087.0</v>
      </c>
      <c r="G57" s="13">
        <f>F57*57</f>
        <v>745959</v>
      </c>
      <c r="H57" s="18" t="s">
        <v>14</v>
      </c>
    </row>
    <row r="58" spans="1:8" outlineLevel="1">
      <c r="A58" s="18">
        <v>51</v>
      </c>
      <c r="B58" s="9" t="s">
        <v>160</v>
      </c>
      <c r="C58" s="10" t="s">
        <v>161</v>
      </c>
      <c r="D58" s="10" t="s">
        <v>162</v>
      </c>
      <c r="E58" s="8">
        <v>1000.0</v>
      </c>
      <c r="F58" s="15">
        <v>15335.0</v>
      </c>
      <c r="G58" s="13">
        <f>F58*58</f>
        <v>889430</v>
      </c>
      <c r="H58" s="18" t="s">
        <v>14</v>
      </c>
    </row>
    <row r="59" spans="1:8" outlineLevel="1">
      <c r="A59" s="18">
        <v>52</v>
      </c>
      <c r="B59" s="9" t="s">
        <v>163</v>
      </c>
      <c r="C59" s="10" t="s">
        <v>164</v>
      </c>
      <c r="D59" s="10" t="s">
        <v>165</v>
      </c>
      <c r="E59" s="8">
        <v>1000.0</v>
      </c>
      <c r="F59" s="15">
        <v>35836.0</v>
      </c>
      <c r="G59" s="13">
        <f>F59*59</f>
        <v>2114324</v>
      </c>
      <c r="H59" s="18" t="s">
        <v>14</v>
      </c>
    </row>
    <row r="60" spans="1:8" outlineLevel="1">
      <c r="A60" s="18">
        <v>53</v>
      </c>
      <c r="B60" s="9" t="s">
        <v>166</v>
      </c>
      <c r="C60" s="10" t="s">
        <v>167</v>
      </c>
      <c r="D60" s="10" t="s">
        <v>168</v>
      </c>
      <c r="E60" s="8">
        <v>1000.0</v>
      </c>
      <c r="F60" s="15">
        <v>45119.0</v>
      </c>
      <c r="G60" s="13">
        <f>F60*60</f>
        <v>2707140</v>
      </c>
      <c r="H60" s="18" t="s">
        <v>14</v>
      </c>
    </row>
    <row r="61" spans="1:8" outlineLevel="1">
      <c r="A61" s="18">
        <v>54</v>
      </c>
      <c r="B61" s="9" t="s">
        <v>169</v>
      </c>
      <c r="C61" s="10" t="s">
        <v>170</v>
      </c>
      <c r="D61" s="10" t="s">
        <v>171</v>
      </c>
      <c r="E61" s="8" t="s">
        <v>23</v>
      </c>
      <c r="F61" s="15">
        <v>41.0</v>
      </c>
      <c r="G61" s="13">
        <f>F61*61</f>
        <v>2501</v>
      </c>
      <c r="H61" s="18" t="s">
        <v>14</v>
      </c>
    </row>
    <row r="62" spans="1:8" outlineLevel="1">
      <c r="A62" s="18">
        <v>55</v>
      </c>
      <c r="B62" s="9" t="s">
        <v>172</v>
      </c>
      <c r="C62" s="10" t="s">
        <v>173</v>
      </c>
      <c r="D62" s="10" t="s">
        <v>174</v>
      </c>
      <c r="E62" s="8">
        <v>1000.0</v>
      </c>
      <c r="F62" s="15">
        <v>4801.0</v>
      </c>
      <c r="G62" s="13">
        <f>F62*62</f>
        <v>297662</v>
      </c>
      <c r="H62" s="18" t="s">
        <v>14</v>
      </c>
    </row>
    <row r="63" spans="1:8" outlineLevel="1">
      <c r="A63" s="18">
        <v>56</v>
      </c>
      <c r="B63" s="9" t="s">
        <v>175</v>
      </c>
      <c r="C63" s="10" t="s">
        <v>173</v>
      </c>
      <c r="D63" s="10" t="s">
        <v>176</v>
      </c>
      <c r="E63" s="8">
        <v>1000.0</v>
      </c>
      <c r="F63" s="15">
        <v>6538.0</v>
      </c>
      <c r="G63" s="13">
        <f>F63*63</f>
        <v>411894</v>
      </c>
      <c r="H63" s="18" t="s">
        <v>14</v>
      </c>
    </row>
    <row r="64" spans="1:8" outlineLevel="1">
      <c r="A64" s="18">
        <v>57</v>
      </c>
      <c r="B64" s="9" t="s">
        <v>177</v>
      </c>
      <c r="C64" s="10" t="s">
        <v>178</v>
      </c>
      <c r="D64" s="10" t="s">
        <v>179</v>
      </c>
      <c r="E64" s="8">
        <v>1000.0</v>
      </c>
      <c r="F64" s="15">
        <v>4720.0</v>
      </c>
      <c r="G64" s="13">
        <f>F64*64</f>
        <v>302080</v>
      </c>
      <c r="H64" s="18" t="s">
        <v>14</v>
      </c>
    </row>
    <row r="65" spans="1:8" outlineLevel="1">
      <c r="A65" s="18">
        <v>58</v>
      </c>
      <c r="B65" s="9" t="s">
        <v>180</v>
      </c>
      <c r="C65" s="10" t="s">
        <v>181</v>
      </c>
      <c r="D65" s="10" t="s">
        <v>182</v>
      </c>
      <c r="E65" s="8">
        <v>1000.0</v>
      </c>
      <c r="F65" s="15">
        <v>2803.0</v>
      </c>
      <c r="G65" s="13">
        <f>F65*65</f>
        <v>182195</v>
      </c>
      <c r="H65" s="18" t="s">
        <v>14</v>
      </c>
    </row>
    <row r="66" spans="1:8" outlineLevel="1">
      <c r="A66" s="18">
        <v>59</v>
      </c>
      <c r="B66" s="9" t="s">
        <v>183</v>
      </c>
      <c r="C66" s="10" t="s">
        <v>184</v>
      </c>
      <c r="D66" s="10" t="s">
        <v>185</v>
      </c>
      <c r="E66" s="8">
        <v>1000.0</v>
      </c>
      <c r="F66" s="15">
        <v>2973.0</v>
      </c>
      <c r="G66" s="13">
        <f>F66*66</f>
        <v>196218</v>
      </c>
      <c r="H66" s="18" t="s">
        <v>14</v>
      </c>
    </row>
    <row r="67" spans="1:8" outlineLevel="1">
      <c r="A67" s="18">
        <v>60</v>
      </c>
      <c r="B67" s="9" t="s">
        <v>186</v>
      </c>
      <c r="C67" s="10" t="s">
        <v>187</v>
      </c>
      <c r="D67" s="10" t="s">
        <v>188</v>
      </c>
      <c r="E67" s="8">
        <v>1000.0</v>
      </c>
      <c r="F67" s="15">
        <v>3542.0</v>
      </c>
      <c r="G67" s="13">
        <f>F67*67</f>
        <v>237314</v>
      </c>
      <c r="H67" s="18" t="s">
        <v>14</v>
      </c>
    </row>
    <row r="68" spans="1:8" outlineLevel="1">
      <c r="A68" s="18">
        <v>61</v>
      </c>
      <c r="B68" s="9" t="s">
        <v>189</v>
      </c>
      <c r="C68" s="10" t="s">
        <v>190</v>
      </c>
      <c r="D68" s="10" t="s">
        <v>191</v>
      </c>
      <c r="E68" s="8">
        <v>1000.0</v>
      </c>
      <c r="F68" s="15">
        <v>191367.0</v>
      </c>
      <c r="G68" s="13">
        <f>F68*68</f>
        <v>13012956</v>
      </c>
      <c r="H68" s="18" t="s">
        <v>14</v>
      </c>
    </row>
    <row r="69" spans="1:8" outlineLevel="1">
      <c r="A69" s="18">
        <v>62</v>
      </c>
      <c r="B69" s="9" t="s">
        <v>192</v>
      </c>
      <c r="C69" s="10" t="s">
        <v>193</v>
      </c>
      <c r="D69" s="10" t="s">
        <v>194</v>
      </c>
      <c r="E69" s="8">
        <v>1000.0</v>
      </c>
      <c r="F69" s="15">
        <v>15355.0</v>
      </c>
      <c r="G69" s="13">
        <f>F69*69</f>
        <v>1059495</v>
      </c>
      <c r="H69" s="18" t="s">
        <v>14</v>
      </c>
    </row>
    <row r="70" spans="1:8" outlineLevel="1">
      <c r="A70" s="18">
        <v>63</v>
      </c>
      <c r="B70" s="9" t="s">
        <v>195</v>
      </c>
      <c r="C70" s="10" t="s">
        <v>196</v>
      </c>
      <c r="D70" s="10" t="s">
        <v>197</v>
      </c>
      <c r="E70" s="8">
        <v>1000.0</v>
      </c>
      <c r="F70" s="15">
        <v>71442.0</v>
      </c>
      <c r="G70" s="13">
        <f>F70*70</f>
        <v>5000940</v>
      </c>
      <c r="H70" s="18" t="s">
        <v>14</v>
      </c>
    </row>
    <row r="71" spans="1:8" outlineLevel="1">
      <c r="A71" s="18">
        <v>64</v>
      </c>
      <c r="B71" s="9" t="s">
        <v>198</v>
      </c>
      <c r="C71" s="10" t="s">
        <v>199</v>
      </c>
      <c r="D71" s="10" t="s">
        <v>200</v>
      </c>
      <c r="E71" s="8" t="s">
        <v>23</v>
      </c>
      <c r="F71" s="15">
        <v>21.0</v>
      </c>
      <c r="G71" s="13">
        <f>F71*71</f>
        <v>1491</v>
      </c>
      <c r="H71" s="18" t="s">
        <v>14</v>
      </c>
    </row>
    <row r="72" spans="1:8" outlineLevel="1">
      <c r="A72" s="18">
        <v>65</v>
      </c>
      <c r="B72" s="9" t="s">
        <v>201</v>
      </c>
      <c r="C72" s="10" t="s">
        <v>202</v>
      </c>
      <c r="D72" s="10" t="s">
        <v>203</v>
      </c>
      <c r="E72" s="8" t="s">
        <v>23</v>
      </c>
      <c r="F72" s="15">
        <v>36.0</v>
      </c>
      <c r="G72" s="13">
        <f>F72*72</f>
        <v>2592</v>
      </c>
      <c r="H72" s="18" t="s">
        <v>14</v>
      </c>
    </row>
    <row r="73" spans="1:8" outlineLevel="1">
      <c r="A73" s="18">
        <v>66</v>
      </c>
      <c r="B73" s="9" t="s">
        <v>204</v>
      </c>
      <c r="C73" s="10" t="s">
        <v>205</v>
      </c>
      <c r="D73" s="10" t="s">
        <v>206</v>
      </c>
      <c r="E73" s="8" t="s">
        <v>23</v>
      </c>
      <c r="F73" s="15">
        <v>34.0</v>
      </c>
      <c r="G73" s="13">
        <f>F73*73</f>
        <v>2482</v>
      </c>
      <c r="H73" s="18" t="s">
        <v>14</v>
      </c>
    </row>
    <row r="74" spans="1:8" outlineLevel="1">
      <c r="A74" s="18">
        <v>67</v>
      </c>
      <c r="B74" s="9" t="s">
        <v>207</v>
      </c>
      <c r="C74" s="10" t="s">
        <v>205</v>
      </c>
      <c r="D74" s="10" t="s">
        <v>208</v>
      </c>
      <c r="E74" s="8" t="s">
        <v>23</v>
      </c>
      <c r="F74" s="15">
        <v>36.0</v>
      </c>
      <c r="G74" s="13">
        <f>F74*74</f>
        <v>2664</v>
      </c>
      <c r="H74" s="18" t="s">
        <v>14</v>
      </c>
    </row>
    <row r="75" spans="1:8" outlineLevel="1">
      <c r="A75" s="18">
        <v>68</v>
      </c>
      <c r="B75" s="9" t="s">
        <v>209</v>
      </c>
      <c r="C75" s="10" t="s">
        <v>210</v>
      </c>
      <c r="D75" s="10" t="s">
        <v>211</v>
      </c>
      <c r="E75" s="8" t="s">
        <v>23</v>
      </c>
      <c r="F75" s="15">
        <v>15.0</v>
      </c>
      <c r="G75" s="13">
        <f>F75*75</f>
        <v>1125</v>
      </c>
      <c r="H75" s="18" t="s">
        <v>14</v>
      </c>
    </row>
    <row r="76" spans="1:8" outlineLevel="1">
      <c r="A76" s="18">
        <v>69</v>
      </c>
      <c r="B76" s="9" t="s">
        <v>212</v>
      </c>
      <c r="C76" s="10" t="s">
        <v>213</v>
      </c>
      <c r="D76" s="10" t="s">
        <v>214</v>
      </c>
      <c r="E76" s="8" t="s">
        <v>23</v>
      </c>
      <c r="F76" s="15">
        <v>32.0</v>
      </c>
      <c r="G76" s="13">
        <f>F76*76</f>
        <v>2432</v>
      </c>
      <c r="H76" s="18" t="s">
        <v>14</v>
      </c>
    </row>
    <row r="77" spans="1:8" outlineLevel="1">
      <c r="A77" s="18">
        <v>70</v>
      </c>
      <c r="B77" s="9" t="s">
        <v>215</v>
      </c>
      <c r="C77" s="10" t="s">
        <v>213</v>
      </c>
      <c r="D77" s="10" t="s">
        <v>216</v>
      </c>
      <c r="E77" s="8" t="s">
        <v>23</v>
      </c>
      <c r="F77" s="15">
        <v>32.0</v>
      </c>
      <c r="G77" s="13">
        <f>F77*77</f>
        <v>2464</v>
      </c>
      <c r="H77" s="18" t="s">
        <v>14</v>
      </c>
    </row>
    <row r="78" spans="1:8" outlineLevel="1">
      <c r="A78" s="18">
        <v>71</v>
      </c>
      <c r="B78" s="9" t="s">
        <v>217</v>
      </c>
      <c r="C78" s="10" t="s">
        <v>213</v>
      </c>
      <c r="D78" s="10" t="s">
        <v>218</v>
      </c>
      <c r="E78" s="8" t="s">
        <v>23</v>
      </c>
      <c r="F78" s="15">
        <v>36.0</v>
      </c>
      <c r="G78" s="13">
        <f>F78*78</f>
        <v>2808</v>
      </c>
      <c r="H78" s="18" t="s">
        <v>14</v>
      </c>
    </row>
    <row r="79" spans="1:8" outlineLevel="1">
      <c r="A79" s="18">
        <v>72</v>
      </c>
      <c r="B79" s="9" t="s">
        <v>219</v>
      </c>
      <c r="C79" s="10" t="s">
        <v>213</v>
      </c>
      <c r="D79" s="10" t="s">
        <v>220</v>
      </c>
      <c r="E79" s="8" t="s">
        <v>23</v>
      </c>
      <c r="F79" s="15">
        <v>58.0</v>
      </c>
      <c r="G79" s="13">
        <f>F79*79</f>
        <v>4582</v>
      </c>
      <c r="H79" s="18" t="s">
        <v>14</v>
      </c>
    </row>
    <row r="80" spans="1:8" outlineLevel="1">
      <c r="A80" s="18">
        <v>73</v>
      </c>
      <c r="B80" s="9" t="s">
        <v>221</v>
      </c>
      <c r="C80" s="10" t="s">
        <v>222</v>
      </c>
      <c r="D80" s="10" t="s">
        <v>223</v>
      </c>
      <c r="E80" s="8" t="s">
        <v>23</v>
      </c>
      <c r="F80" s="15">
        <v>41.0</v>
      </c>
      <c r="G80" s="13">
        <f>F80*80</f>
        <v>3280</v>
      </c>
      <c r="H80" s="18" t="s">
        <v>14</v>
      </c>
    </row>
    <row r="81" spans="1:8" outlineLevel="1">
      <c r="A81" s="18">
        <v>74</v>
      </c>
      <c r="B81" s="9" t="s">
        <v>224</v>
      </c>
      <c r="C81" s="10" t="s">
        <v>225</v>
      </c>
      <c r="D81" s="10" t="s">
        <v>226</v>
      </c>
      <c r="E81" s="8" t="s">
        <v>23</v>
      </c>
      <c r="F81" s="15">
        <v>35808.0</v>
      </c>
      <c r="G81" s="13">
        <f>F81*81</f>
        <v>2900448</v>
      </c>
      <c r="H81" s="18" t="s">
        <v>14</v>
      </c>
    </row>
    <row r="82" spans="1:8" outlineLevel="1">
      <c r="A82" s="18">
        <v>75</v>
      </c>
      <c r="B82" s="9" t="s">
        <v>227</v>
      </c>
      <c r="C82" s="10" t="s">
        <v>228</v>
      </c>
      <c r="D82" s="10" t="s">
        <v>229</v>
      </c>
      <c r="E82" s="8" t="s">
        <v>23</v>
      </c>
      <c r="F82" s="15">
        <v>26496.0</v>
      </c>
      <c r="G82" s="13">
        <f>F82*82</f>
        <v>2172672</v>
      </c>
      <c r="H82" s="18" t="s">
        <v>14</v>
      </c>
    </row>
    <row r="83" spans="1:8" outlineLevel="1">
      <c r="A83" s="18">
        <v>76</v>
      </c>
      <c r="B83" s="9" t="s">
        <v>230</v>
      </c>
      <c r="C83" s="10" t="s">
        <v>231</v>
      </c>
      <c r="D83" s="10" t="s">
        <v>232</v>
      </c>
      <c r="E83" s="8" t="s">
        <v>23</v>
      </c>
      <c r="F83" s="15">
        <v>0.0</v>
      </c>
      <c r="G83" s="13">
        <f>F83*83</f>
        <v>0</v>
      </c>
      <c r="H83" s="18" t="s">
        <v>14</v>
      </c>
    </row>
    <row r="84" spans="1:8" outlineLevel="1">
      <c r="A84" s="18">
        <v>77</v>
      </c>
      <c r="B84" s="9" t="s">
        <v>233</v>
      </c>
      <c r="C84" s="10" t="s">
        <v>234</v>
      </c>
      <c r="D84" s="10" t="s">
        <v>235</v>
      </c>
      <c r="E84" s="8" t="s">
        <v>23</v>
      </c>
      <c r="F84" s="15">
        <v>22464.0</v>
      </c>
      <c r="G84" s="13">
        <f>F84*84</f>
        <v>1886976</v>
      </c>
      <c r="H84" s="18" t="s">
        <v>14</v>
      </c>
    </row>
    <row r="85" spans="1:8" outlineLevel="1">
      <c r="A85" s="18">
        <v>78</v>
      </c>
      <c r="B85" s="9" t="s">
        <v>236</v>
      </c>
      <c r="C85" s="10" t="s">
        <v>237</v>
      </c>
      <c r="D85" s="10" t="s">
        <v>238</v>
      </c>
      <c r="E85" s="8" t="s">
        <v>23</v>
      </c>
      <c r="F85" s="15">
        <v>22176.0</v>
      </c>
      <c r="G85" s="13">
        <f>F85*85</f>
        <v>1884960</v>
      </c>
      <c r="H85" s="18" t="s">
        <v>14</v>
      </c>
    </row>
    <row r="86" spans="1:8" outlineLevel="1">
      <c r="A86" s="18">
        <v>79</v>
      </c>
      <c r="B86" s="9" t="s">
        <v>239</v>
      </c>
      <c r="C86" s="10" t="s">
        <v>240</v>
      </c>
      <c r="D86" s="10" t="s">
        <v>241</v>
      </c>
      <c r="E86" s="8" t="s">
        <v>23</v>
      </c>
      <c r="F86" s="15">
        <v>0.0</v>
      </c>
      <c r="G86" s="13">
        <f>F86*86</f>
        <v>0</v>
      </c>
      <c r="H86" s="18" t="s">
        <v>14</v>
      </c>
    </row>
    <row r="87" spans="1:8" outlineLevel="1">
      <c r="A87" s="18">
        <v>80</v>
      </c>
      <c r="B87" s="9" t="s">
        <v>242</v>
      </c>
      <c r="C87" s="10" t="s">
        <v>243</v>
      </c>
      <c r="D87" s="10" t="s">
        <v>244</v>
      </c>
      <c r="E87" s="8" t="s">
        <v>23</v>
      </c>
      <c r="F87" s="15">
        <v>49075.0</v>
      </c>
      <c r="G87" s="13">
        <f>F87*87</f>
        <v>4269525</v>
      </c>
      <c r="H87" s="18" t="s">
        <v>14</v>
      </c>
    </row>
    <row r="88" spans="1:8" outlineLevel="1">
      <c r="A88" s="18">
        <v>81</v>
      </c>
      <c r="B88" s="9" t="s">
        <v>245</v>
      </c>
      <c r="C88" s="10" t="s">
        <v>246</v>
      </c>
      <c r="D88" s="10" t="s">
        <v>247</v>
      </c>
      <c r="E88" s="8" t="s">
        <v>23</v>
      </c>
      <c r="F88" s="15">
        <v>67968.0</v>
      </c>
      <c r="G88" s="13">
        <f>F88*88</f>
        <v>5981184</v>
      </c>
      <c r="H88" s="18" t="s">
        <v>14</v>
      </c>
    </row>
    <row r="89" spans="1:8" outlineLevel="1">
      <c r="A89" s="18">
        <v>82</v>
      </c>
      <c r="B89" s="9" t="s">
        <v>248</v>
      </c>
      <c r="C89" s="10" t="s">
        <v>249</v>
      </c>
      <c r="D89" s="10" t="s">
        <v>250</v>
      </c>
      <c r="E89" s="8" t="s">
        <v>23</v>
      </c>
      <c r="F89" s="15">
        <v>61056.0</v>
      </c>
      <c r="G89" s="13">
        <f>F89*89</f>
        <v>5433984</v>
      </c>
      <c r="H89" s="18" t="s">
        <v>14</v>
      </c>
    </row>
    <row r="90" spans="1:8" outlineLevel="1">
      <c r="A90" s="18">
        <v>83</v>
      </c>
      <c r="B90" s="9" t="s">
        <v>251</v>
      </c>
      <c r="C90" s="10" t="s">
        <v>252</v>
      </c>
      <c r="D90" s="10" t="s">
        <v>253</v>
      </c>
      <c r="E90" s="8" t="s">
        <v>23</v>
      </c>
      <c r="F90" s="15">
        <v>40512.0</v>
      </c>
      <c r="G90" s="13">
        <f>F90*90</f>
        <v>3646080</v>
      </c>
      <c r="H90" s="18" t="s">
        <v>14</v>
      </c>
    </row>
    <row r="91" spans="1:8" outlineLevel="1">
      <c r="A91" s="18">
        <v>84</v>
      </c>
      <c r="B91" s="9" t="s">
        <v>254</v>
      </c>
      <c r="C91" s="10" t="s">
        <v>255</v>
      </c>
      <c r="D91" s="10" t="s">
        <v>256</v>
      </c>
      <c r="E91" s="8" t="s">
        <v>23</v>
      </c>
      <c r="F91" s="15">
        <v>60000.0</v>
      </c>
      <c r="G91" s="13">
        <f>F91*91</f>
        <v>5460000</v>
      </c>
      <c r="H91" s="18" t="s">
        <v>14</v>
      </c>
    </row>
    <row r="92" spans="1:8" outlineLevel="1">
      <c r="A92" s="18">
        <v>85</v>
      </c>
      <c r="B92" s="9" t="s">
        <v>257</v>
      </c>
      <c r="C92" s="10" t="s">
        <v>258</v>
      </c>
      <c r="D92" s="10" t="s">
        <v>259</v>
      </c>
      <c r="E92" s="8" t="s">
        <v>23</v>
      </c>
      <c r="F92" s="15">
        <v>49536.0</v>
      </c>
      <c r="G92" s="13">
        <f>F92*92</f>
        <v>4557312</v>
      </c>
      <c r="H92" s="18" t="s">
        <v>14</v>
      </c>
    </row>
    <row r="93" spans="1:8" outlineLevel="1">
      <c r="A93" s="18">
        <v>86</v>
      </c>
      <c r="B93" s="9" t="s">
        <v>260</v>
      </c>
      <c r="C93" s="10" t="s">
        <v>261</v>
      </c>
      <c r="D93" s="10" t="s">
        <v>262</v>
      </c>
      <c r="E93" s="8" t="s">
        <v>23</v>
      </c>
      <c r="F93" s="15">
        <v>7650.0</v>
      </c>
      <c r="G93" s="13">
        <f>F93*93</f>
        <v>711450</v>
      </c>
      <c r="H93" s="18" t="s">
        <v>14</v>
      </c>
    </row>
    <row r="94" spans="1:8" outlineLevel="1">
      <c r="A94" s="18">
        <v>87</v>
      </c>
      <c r="B94" s="9" t="s">
        <v>263</v>
      </c>
      <c r="C94" s="10" t="s">
        <v>264</v>
      </c>
      <c r="D94" s="10" t="s">
        <v>265</v>
      </c>
      <c r="E94" s="8" t="s">
        <v>23</v>
      </c>
      <c r="F94" s="15">
        <v>29568.0</v>
      </c>
      <c r="G94" s="13">
        <f>F94*94</f>
        <v>2779392</v>
      </c>
      <c r="H94" s="18" t="s">
        <v>14</v>
      </c>
    </row>
    <row r="95" spans="1:8" outlineLevel="1">
      <c r="A95" s="18">
        <v>88</v>
      </c>
      <c r="B95" s="9" t="s">
        <v>266</v>
      </c>
      <c r="C95" s="10" t="s">
        <v>267</v>
      </c>
      <c r="D95" s="10" t="s">
        <v>268</v>
      </c>
      <c r="E95" s="8" t="s">
        <v>23</v>
      </c>
      <c r="F95" s="15">
        <v>40224.0</v>
      </c>
      <c r="G95" s="13">
        <f>F95*95</f>
        <v>3821280</v>
      </c>
      <c r="H95" s="18" t="s">
        <v>14</v>
      </c>
    </row>
    <row r="96" spans="1:8" outlineLevel="1">
      <c r="A96" s="18">
        <v>89</v>
      </c>
      <c r="B96" s="9" t="s">
        <v>269</v>
      </c>
      <c r="C96" s="10" t="s">
        <v>270</v>
      </c>
      <c r="D96" s="10" t="s">
        <v>271</v>
      </c>
      <c r="E96" s="8" t="s">
        <v>23</v>
      </c>
      <c r="F96" s="15">
        <v>59520.0</v>
      </c>
      <c r="G96" s="13">
        <f>F96*96</f>
        <v>5713920</v>
      </c>
      <c r="H96" s="18" t="s">
        <v>14</v>
      </c>
    </row>
    <row r="97" spans="1:8" outlineLevel="1">
      <c r="A97" s="18">
        <v>90</v>
      </c>
      <c r="B97" s="9" t="s">
        <v>272</v>
      </c>
      <c r="C97" s="10" t="s">
        <v>273</v>
      </c>
      <c r="D97" s="10" t="s">
        <v>274</v>
      </c>
      <c r="E97" s="8" t="s">
        <v>23</v>
      </c>
      <c r="F97" s="15">
        <v>64032.0</v>
      </c>
      <c r="G97" s="13">
        <f>F97*97</f>
        <v>6211104</v>
      </c>
      <c r="H97" s="18" t="s">
        <v>14</v>
      </c>
    </row>
    <row r="98" spans="1:8" outlineLevel="1">
      <c r="A98" s="18">
        <v>91</v>
      </c>
      <c r="B98" s="9" t="s">
        <v>275</v>
      </c>
      <c r="C98" s="10" t="s">
        <v>276</v>
      </c>
      <c r="D98" s="10" t="s">
        <v>277</v>
      </c>
      <c r="E98" s="8" t="s">
        <v>23</v>
      </c>
      <c r="F98" s="15">
        <v>70656.0</v>
      </c>
      <c r="G98" s="13">
        <f>F98*98</f>
        <v>6924288</v>
      </c>
      <c r="H98" s="18" t="s">
        <v>14</v>
      </c>
    </row>
    <row r="99" spans="1:8" outlineLevel="1">
      <c r="A99" s="18">
        <v>92</v>
      </c>
      <c r="B99" s="9" t="s">
        <v>278</v>
      </c>
      <c r="C99" s="10" t="s">
        <v>279</v>
      </c>
      <c r="D99" s="10" t="s">
        <v>280</v>
      </c>
      <c r="E99" s="8" t="s">
        <v>23</v>
      </c>
      <c r="F99" s="15">
        <v>76224.0</v>
      </c>
      <c r="G99" s="13">
        <f>F99*99</f>
        <v>7546176</v>
      </c>
      <c r="H99" s="18" t="s">
        <v>14</v>
      </c>
    </row>
    <row r="100" spans="1:8" outlineLevel="1">
      <c r="A100" s="18">
        <v>93</v>
      </c>
      <c r="B100" s="9" t="s">
        <v>281</v>
      </c>
      <c r="C100" s="10" t="s">
        <v>282</v>
      </c>
      <c r="D100" s="10" t="s">
        <v>283</v>
      </c>
      <c r="E100" s="8" t="s">
        <v>23</v>
      </c>
      <c r="F100" s="15">
        <v>0.0</v>
      </c>
      <c r="G100" s="13">
        <f>F100*100</f>
        <v>0</v>
      </c>
      <c r="H100" s="18" t="s">
        <v>14</v>
      </c>
    </row>
    <row r="101" spans="1:8" outlineLevel="1">
      <c r="A101" s="18">
        <v>94</v>
      </c>
      <c r="B101" s="9" t="s">
        <v>284</v>
      </c>
      <c r="C101" s="10" t="s">
        <v>285</v>
      </c>
      <c r="D101" s="10" t="s">
        <v>286</v>
      </c>
      <c r="E101" s="8" t="s">
        <v>23</v>
      </c>
      <c r="F101" s="15">
        <v>69984.0</v>
      </c>
      <c r="G101" s="13">
        <f>F101*101</f>
        <v>7068384</v>
      </c>
      <c r="H101" s="18" t="s">
        <v>14</v>
      </c>
    </row>
    <row r="102" spans="1:8" outlineLevel="1">
      <c r="A102" s="18">
        <v>95</v>
      </c>
      <c r="B102" s="9" t="s">
        <v>287</v>
      </c>
      <c r="C102" s="10" t="s">
        <v>288</v>
      </c>
      <c r="D102" s="10" t="s">
        <v>289</v>
      </c>
      <c r="E102" s="8" t="s">
        <v>23</v>
      </c>
      <c r="F102" s="15">
        <v>81600.0</v>
      </c>
      <c r="G102" s="13">
        <f>F102*102</f>
        <v>8323200</v>
      </c>
      <c r="H102" s="18" t="s">
        <v>14</v>
      </c>
    </row>
    <row r="103" spans="1:8" outlineLevel="1">
      <c r="A103" s="18">
        <v>96</v>
      </c>
      <c r="B103" s="9" t="s">
        <v>290</v>
      </c>
      <c r="C103" s="10" t="s">
        <v>291</v>
      </c>
      <c r="D103" s="10" t="s">
        <v>292</v>
      </c>
      <c r="E103" s="8" t="s">
        <v>23</v>
      </c>
      <c r="F103" s="15">
        <v>78240.0</v>
      </c>
      <c r="G103" s="13">
        <f>F103*103</f>
        <v>8058720</v>
      </c>
      <c r="H103" s="18" t="s">
        <v>14</v>
      </c>
    </row>
    <row r="104" spans="1:8" outlineLevel="1">
      <c r="A104" s="18">
        <v>97</v>
      </c>
      <c r="B104" s="9" t="s">
        <v>293</v>
      </c>
      <c r="C104" s="10" t="s">
        <v>294</v>
      </c>
      <c r="D104" s="10" t="s">
        <v>295</v>
      </c>
      <c r="E104" s="8" t="s">
        <v>23</v>
      </c>
      <c r="F104" s="15">
        <v>93600.0</v>
      </c>
      <c r="G104" s="13">
        <f>F104*104</f>
        <v>9734400</v>
      </c>
      <c r="H104" s="18" t="s">
        <v>14</v>
      </c>
    </row>
    <row r="105" spans="1:8" outlineLevel="1">
      <c r="A105" s="18">
        <v>98</v>
      </c>
      <c r="B105" s="9" t="s">
        <v>296</v>
      </c>
      <c r="C105" s="10" t="s">
        <v>297</v>
      </c>
      <c r="D105" s="10" t="s">
        <v>298</v>
      </c>
      <c r="E105" s="8" t="s">
        <v>23</v>
      </c>
      <c r="F105" s="15">
        <v>4641.0</v>
      </c>
      <c r="G105" s="13">
        <f>F105*105</f>
        <v>487305</v>
      </c>
      <c r="H105" s="18" t="s">
        <v>14</v>
      </c>
    </row>
    <row r="106" spans="1:8" outlineLevel="1">
      <c r="A106" s="18">
        <v>99</v>
      </c>
      <c r="B106" s="9" t="s">
        <v>299</v>
      </c>
      <c r="C106" s="10" t="s">
        <v>300</v>
      </c>
      <c r="D106" s="10" t="s">
        <v>301</v>
      </c>
      <c r="E106" s="8" t="s">
        <v>23</v>
      </c>
      <c r="F106" s="15">
        <v>0.0</v>
      </c>
      <c r="G106" s="13">
        <f>F106*106</f>
        <v>0</v>
      </c>
      <c r="H106" s="18" t="s">
        <v>14</v>
      </c>
    </row>
    <row r="107" spans="1:8" outlineLevel="1">
      <c r="A107" s="18">
        <v>100</v>
      </c>
      <c r="B107" s="9" t="s">
        <v>302</v>
      </c>
      <c r="C107" s="10" t="s">
        <v>303</v>
      </c>
      <c r="D107" s="10" t="s">
        <v>304</v>
      </c>
      <c r="E107" s="8" t="s">
        <v>23</v>
      </c>
      <c r="F107" s="15">
        <v>68832.0</v>
      </c>
      <c r="G107" s="13">
        <f>F107*107</f>
        <v>7365024</v>
      </c>
      <c r="H107" s="18" t="s">
        <v>14</v>
      </c>
    </row>
    <row r="108" spans="1:8" outlineLevel="1">
      <c r="A108" s="18">
        <v>101</v>
      </c>
      <c r="B108" s="9" t="s">
        <v>305</v>
      </c>
      <c r="C108" s="10" t="s">
        <v>306</v>
      </c>
      <c r="D108" s="10" t="s">
        <v>307</v>
      </c>
      <c r="E108" s="8" t="s">
        <v>23</v>
      </c>
      <c r="F108" s="15">
        <v>82848.0</v>
      </c>
      <c r="G108" s="13">
        <f>F108*108</f>
        <v>8947584</v>
      </c>
      <c r="H108" s="18" t="s">
        <v>14</v>
      </c>
    </row>
    <row r="109" spans="1:8" outlineLevel="1">
      <c r="A109" s="18">
        <v>102</v>
      </c>
      <c r="B109" s="9" t="s">
        <v>308</v>
      </c>
      <c r="C109" s="10" t="s">
        <v>309</v>
      </c>
      <c r="D109" s="10" t="s">
        <v>310</v>
      </c>
      <c r="E109" s="8" t="s">
        <v>23</v>
      </c>
      <c r="F109" s="15">
        <v>39168.0</v>
      </c>
      <c r="G109" s="13">
        <f>F109*109</f>
        <v>4269312</v>
      </c>
      <c r="H109" s="18" t="s">
        <v>14</v>
      </c>
    </row>
    <row r="110" spans="1:8" outlineLevel="1">
      <c r="A110" s="18">
        <v>103</v>
      </c>
      <c r="B110" s="9" t="s">
        <v>311</v>
      </c>
      <c r="C110" s="10" t="s">
        <v>312</v>
      </c>
      <c r="D110" s="10" t="s">
        <v>313</v>
      </c>
      <c r="E110" s="8" t="s">
        <v>23</v>
      </c>
      <c r="F110" s="15">
        <v>77280.0</v>
      </c>
      <c r="G110" s="13">
        <f>F110*110</f>
        <v>8500800</v>
      </c>
      <c r="H110" s="18" t="s">
        <v>14</v>
      </c>
    </row>
    <row r="111" spans="1:8" outlineLevel="1">
      <c r="A111" s="18">
        <v>104</v>
      </c>
      <c r="B111" s="9" t="s">
        <v>314</v>
      </c>
      <c r="C111" s="10" t="s">
        <v>315</v>
      </c>
      <c r="D111" s="10" t="s">
        <v>316</v>
      </c>
      <c r="E111" s="8" t="s">
        <v>23</v>
      </c>
      <c r="F111" s="15">
        <v>74688.0</v>
      </c>
      <c r="G111" s="13">
        <f>F111*111</f>
        <v>8290368</v>
      </c>
      <c r="H111" s="18" t="s">
        <v>14</v>
      </c>
    </row>
    <row r="112" spans="1:8" outlineLevel="1">
      <c r="A112" s="18">
        <v>105</v>
      </c>
      <c r="B112" s="9" t="s">
        <v>317</v>
      </c>
      <c r="C112" s="10" t="s">
        <v>318</v>
      </c>
      <c r="D112" s="10" t="s">
        <v>319</v>
      </c>
      <c r="E112" s="8" t="s">
        <v>23</v>
      </c>
      <c r="F112" s="15">
        <v>99072.0</v>
      </c>
      <c r="G112" s="13">
        <f>F112*112</f>
        <v>11096064</v>
      </c>
      <c r="H112" s="18" t="s">
        <v>14</v>
      </c>
    </row>
    <row r="113" spans="1:8" outlineLevel="1">
      <c r="A113" s="18">
        <v>106</v>
      </c>
      <c r="B113" s="9" t="s">
        <v>320</v>
      </c>
      <c r="C113" s="10" t="s">
        <v>321</v>
      </c>
      <c r="D113" s="10" t="s">
        <v>322</v>
      </c>
      <c r="E113" s="8" t="s">
        <v>23</v>
      </c>
      <c r="F113" s="15">
        <v>96192.0</v>
      </c>
      <c r="G113" s="13">
        <f>F113*113</f>
        <v>10869696</v>
      </c>
      <c r="H113" s="18" t="s">
        <v>14</v>
      </c>
    </row>
    <row r="114" spans="1:8" outlineLevel="1">
      <c r="A114" s="18">
        <v>107</v>
      </c>
      <c r="B114" s="9" t="s">
        <v>323</v>
      </c>
      <c r="C114" s="10" t="s">
        <v>324</v>
      </c>
      <c r="D114" s="10" t="s">
        <v>325</v>
      </c>
      <c r="E114" s="8" t="s">
        <v>23</v>
      </c>
      <c r="F114" s="15">
        <v>0.0</v>
      </c>
      <c r="G114" s="13">
        <f>F114*114</f>
        <v>0</v>
      </c>
      <c r="H114" s="18" t="s">
        <v>14</v>
      </c>
    </row>
    <row r="115" spans="1:8" outlineLevel="1">
      <c r="A115" s="18">
        <v>108</v>
      </c>
      <c r="B115" s="9" t="s">
        <v>326</v>
      </c>
      <c r="C115" s="10" t="s">
        <v>327</v>
      </c>
      <c r="D115" s="10" t="s">
        <v>328</v>
      </c>
      <c r="E115" s="8" t="s">
        <v>23</v>
      </c>
      <c r="F115" s="15">
        <v>52128.0</v>
      </c>
      <c r="G115" s="13">
        <f>F115*115</f>
        <v>5994720</v>
      </c>
      <c r="H115" s="18" t="s">
        <v>14</v>
      </c>
    </row>
    <row r="116" spans="1:8" outlineLevel="1">
      <c r="A116" s="18">
        <v>109</v>
      </c>
      <c r="B116" s="9" t="s">
        <v>329</v>
      </c>
      <c r="C116" s="10" t="s">
        <v>330</v>
      </c>
      <c r="D116" s="10" t="s">
        <v>331</v>
      </c>
      <c r="E116" s="8" t="s">
        <v>23</v>
      </c>
      <c r="F116" s="15">
        <v>16320.0</v>
      </c>
      <c r="G116" s="13">
        <f>F116*116</f>
        <v>1893120</v>
      </c>
      <c r="H116" s="18" t="s">
        <v>14</v>
      </c>
    </row>
    <row r="117" spans="1:8" outlineLevel="1">
      <c r="A117" s="18">
        <v>110</v>
      </c>
      <c r="B117" s="9" t="s">
        <v>332</v>
      </c>
      <c r="C117" s="10" t="s">
        <v>333</v>
      </c>
      <c r="D117" s="10" t="s">
        <v>334</v>
      </c>
      <c r="E117" s="8" t="s">
        <v>23</v>
      </c>
      <c r="F117" s="15">
        <v>5100.0</v>
      </c>
      <c r="G117" s="13">
        <f>F117*117</f>
        <v>596700</v>
      </c>
      <c r="H117" s="18" t="s">
        <v>14</v>
      </c>
    </row>
    <row r="118" spans="1:8" outlineLevel="1">
      <c r="A118" s="18">
        <v>111</v>
      </c>
      <c r="B118" s="9" t="s">
        <v>335</v>
      </c>
      <c r="C118" s="10" t="s">
        <v>336</v>
      </c>
      <c r="D118" s="10" t="s">
        <v>337</v>
      </c>
      <c r="E118" s="8">
        <v>1000.0</v>
      </c>
      <c r="F118" s="15">
        <v>0.0</v>
      </c>
      <c r="G118" s="13">
        <f>F118*118</f>
        <v>0</v>
      </c>
      <c r="H118" s="18" t="s">
        <v>14</v>
      </c>
    </row>
    <row r="119" spans="1:8" outlineLevel="1">
      <c r="A119" s="18">
        <v>112</v>
      </c>
      <c r="B119" s="9" t="s">
        <v>338</v>
      </c>
      <c r="C119" s="10" t="s">
        <v>339</v>
      </c>
      <c r="D119" s="10" t="s">
        <v>340</v>
      </c>
      <c r="E119" s="8">
        <v>1000.0</v>
      </c>
      <c r="F119" s="15">
        <v>15801.0</v>
      </c>
      <c r="G119" s="13">
        <f>F119*119</f>
        <v>1880319</v>
      </c>
      <c r="H119" s="18" t="s">
        <v>14</v>
      </c>
    </row>
    <row r="120" spans="1:8" outlineLevel="1">
      <c r="A120" s="18">
        <v>113</v>
      </c>
      <c r="B120" s="9" t="s">
        <v>341</v>
      </c>
      <c r="C120" s="10" t="s">
        <v>342</v>
      </c>
      <c r="D120" s="10" t="s">
        <v>343</v>
      </c>
      <c r="E120" s="8">
        <v>1000.0</v>
      </c>
      <c r="F120" s="15">
        <v>788.0</v>
      </c>
      <c r="G120" s="13">
        <f>F120*120</f>
        <v>94560</v>
      </c>
      <c r="H120" s="18" t="s">
        <v>14</v>
      </c>
    </row>
    <row r="121" spans="1:8" outlineLevel="1">
      <c r="A121" s="18">
        <v>114</v>
      </c>
      <c r="B121" s="9" t="s">
        <v>344</v>
      </c>
      <c r="C121" s="10" t="s">
        <v>345</v>
      </c>
      <c r="D121" s="10" t="s">
        <v>346</v>
      </c>
      <c r="E121" s="8">
        <v>1000.0</v>
      </c>
      <c r="F121" s="15">
        <v>2315.0</v>
      </c>
      <c r="G121" s="13">
        <f>F121*121</f>
        <v>280115</v>
      </c>
      <c r="H121" s="18" t="s">
        <v>14</v>
      </c>
    </row>
    <row r="122" spans="1:8" outlineLevel="1">
      <c r="A122" s="18">
        <v>115</v>
      </c>
      <c r="B122" s="9" t="s">
        <v>347</v>
      </c>
      <c r="C122" s="10" t="s">
        <v>348</v>
      </c>
      <c r="D122" s="10" t="s">
        <v>349</v>
      </c>
      <c r="E122" s="8">
        <v>1000.0</v>
      </c>
      <c r="F122" s="15">
        <v>900.0</v>
      </c>
      <c r="G122" s="13">
        <f>F122*122</f>
        <v>109800</v>
      </c>
      <c r="H122" s="18" t="s">
        <v>14</v>
      </c>
    </row>
    <row r="123" spans="1:8" outlineLevel="1">
      <c r="A123" s="18">
        <v>116</v>
      </c>
      <c r="B123" s="9" t="s">
        <v>350</v>
      </c>
      <c r="C123" s="10" t="s">
        <v>351</v>
      </c>
      <c r="D123" s="10" t="s">
        <v>352</v>
      </c>
      <c r="E123" s="8">
        <v>1000.0</v>
      </c>
      <c r="F123" s="15">
        <v>895.0</v>
      </c>
      <c r="G123" s="13">
        <f>F123*123</f>
        <v>110085</v>
      </c>
      <c r="H123" s="18" t="s">
        <v>14</v>
      </c>
    </row>
    <row r="124" spans="1:8" outlineLevel="1">
      <c r="A124" s="18">
        <v>117</v>
      </c>
      <c r="B124" s="9" t="s">
        <v>353</v>
      </c>
      <c r="C124" s="10" t="s">
        <v>354</v>
      </c>
      <c r="D124" s="10" t="s">
        <v>355</v>
      </c>
      <c r="E124" s="8">
        <v>1000.0</v>
      </c>
      <c r="F124" s="15">
        <v>1105.0</v>
      </c>
      <c r="G124" s="13">
        <f>F124*124</f>
        <v>137020</v>
      </c>
      <c r="H124" s="18" t="s">
        <v>14</v>
      </c>
    </row>
    <row r="125" spans="1:8" outlineLevel="1">
      <c r="A125" s="18">
        <v>118</v>
      </c>
      <c r="B125" s="9" t="s">
        <v>356</v>
      </c>
      <c r="C125" s="10" t="s">
        <v>357</v>
      </c>
      <c r="D125" s="10" t="s">
        <v>358</v>
      </c>
      <c r="E125" s="8">
        <v>1000.0</v>
      </c>
      <c r="F125" s="15">
        <v>1779.0</v>
      </c>
      <c r="G125" s="13">
        <f>F125*125</f>
        <v>222375</v>
      </c>
      <c r="H125" s="18" t="s">
        <v>14</v>
      </c>
    </row>
    <row r="126" spans="1:8" outlineLevel="1">
      <c r="A126" s="18">
        <v>119</v>
      </c>
      <c r="B126" s="9" t="s">
        <v>359</v>
      </c>
      <c r="C126" s="10" t="s">
        <v>360</v>
      </c>
      <c r="D126" s="10" t="s">
        <v>361</v>
      </c>
      <c r="E126" s="8">
        <v>1000.0</v>
      </c>
      <c r="F126" s="15">
        <v>900.0</v>
      </c>
      <c r="G126" s="13">
        <f>F126*126</f>
        <v>113400</v>
      </c>
      <c r="H126" s="18" t="s">
        <v>14</v>
      </c>
    </row>
    <row r="127" spans="1:8" outlineLevel="1">
      <c r="A127" s="18">
        <v>120</v>
      </c>
      <c r="B127" s="9" t="s">
        <v>362</v>
      </c>
      <c r="C127" s="10" t="s">
        <v>363</v>
      </c>
      <c r="D127" s="10" t="s">
        <v>364</v>
      </c>
      <c r="E127" s="8">
        <v>1000.0</v>
      </c>
      <c r="F127" s="15">
        <v>46675.0</v>
      </c>
      <c r="G127" s="13">
        <f>F127*127</f>
        <v>5927725</v>
      </c>
      <c r="H127" s="18" t="s">
        <v>14</v>
      </c>
    </row>
    <row r="128" spans="1:8" outlineLevel="1">
      <c r="A128" s="18">
        <v>121</v>
      </c>
      <c r="B128" s="9" t="s">
        <v>365</v>
      </c>
      <c r="C128" s="10" t="s">
        <v>366</v>
      </c>
      <c r="D128" s="10" t="s">
        <v>367</v>
      </c>
      <c r="E128" s="8" t="s">
        <v>23</v>
      </c>
      <c r="F128" s="15">
        <v>21.0</v>
      </c>
      <c r="G128" s="13">
        <f>F128*128</f>
        <v>2688</v>
      </c>
      <c r="H128" s="18" t="s">
        <v>14</v>
      </c>
    </row>
    <row r="129" spans="1:8" outlineLevel="1">
      <c r="A129" s="18">
        <v>122</v>
      </c>
      <c r="B129" s="9" t="s">
        <v>368</v>
      </c>
      <c r="C129" s="10" t="s">
        <v>369</v>
      </c>
      <c r="D129" s="10" t="s">
        <v>370</v>
      </c>
      <c r="E129" s="8" t="s">
        <v>23</v>
      </c>
      <c r="F129" s="15">
        <v>4608.0</v>
      </c>
      <c r="G129" s="13">
        <f>F129*129</f>
        <v>594432</v>
      </c>
      <c r="H129" s="18" t="s">
        <v>14</v>
      </c>
    </row>
    <row r="130" spans="1:8" outlineLevel="1">
      <c r="A130" s="18">
        <v>123</v>
      </c>
      <c r="B130" s="9" t="s">
        <v>371</v>
      </c>
      <c r="C130" s="10" t="s">
        <v>372</v>
      </c>
      <c r="D130" s="10" t="s">
        <v>373</v>
      </c>
      <c r="E130" s="8" t="s">
        <v>23</v>
      </c>
      <c r="F130" s="15">
        <v>0.0</v>
      </c>
      <c r="G130" s="13">
        <f>F130*130</f>
        <v>0</v>
      </c>
      <c r="H130" s="18" t="s">
        <v>14</v>
      </c>
    </row>
    <row r="131" spans="1:8" outlineLevel="1">
      <c r="A131" s="18">
        <v>124</v>
      </c>
      <c r="B131" s="9" t="s">
        <v>374</v>
      </c>
      <c r="C131" s="10" t="s">
        <v>375</v>
      </c>
      <c r="D131" s="10" t="s">
        <v>376</v>
      </c>
      <c r="E131" s="8" t="s">
        <v>23</v>
      </c>
      <c r="F131" s="15">
        <v>15.0</v>
      </c>
      <c r="G131" s="13">
        <f>F131*131</f>
        <v>1965</v>
      </c>
      <c r="H131" s="18" t="s">
        <v>14</v>
      </c>
    </row>
    <row r="132" spans="1:8" outlineLevel="1">
      <c r="A132" s="18">
        <v>125</v>
      </c>
      <c r="B132" s="9" t="s">
        <v>377</v>
      </c>
      <c r="C132" s="10" t="s">
        <v>378</v>
      </c>
      <c r="D132" s="10" t="s">
        <v>379</v>
      </c>
      <c r="E132" s="8" t="s">
        <v>23</v>
      </c>
      <c r="F132" s="15">
        <v>58.0</v>
      </c>
      <c r="G132" s="13">
        <f>F132*132</f>
        <v>7656</v>
      </c>
      <c r="H132" s="18" t="s">
        <v>14</v>
      </c>
    </row>
    <row r="133" spans="1:8" outlineLevel="1">
      <c r="A133" s="18">
        <v>126</v>
      </c>
      <c r="B133" s="9" t="s">
        <v>380</v>
      </c>
      <c r="C133" s="10" t="s">
        <v>381</v>
      </c>
      <c r="D133" s="10" t="s">
        <v>382</v>
      </c>
      <c r="E133" s="8" t="s">
        <v>23</v>
      </c>
      <c r="F133" s="15">
        <v>2696.0</v>
      </c>
      <c r="G133" s="13">
        <f>F133*133</f>
        <v>358568</v>
      </c>
      <c r="H133" s="18" t="s">
        <v>14</v>
      </c>
    </row>
    <row r="134" spans="1:8" outlineLevel="1">
      <c r="A134" s="18">
        <v>127</v>
      </c>
      <c r="B134" s="9" t="s">
        <v>380</v>
      </c>
      <c r="C134" s="10" t="s">
        <v>383</v>
      </c>
      <c r="D134" s="10" t="s">
        <v>384</v>
      </c>
      <c r="E134" s="8">
        <v>1000.0</v>
      </c>
      <c r="F134" s="15">
        <v>3161.0</v>
      </c>
      <c r="G134" s="13">
        <f>F134*134</f>
        <v>423574</v>
      </c>
      <c r="H134" s="18" t="s">
        <v>14</v>
      </c>
    </row>
    <row r="135" spans="1:8" outlineLevel="1">
      <c r="A135" s="18">
        <v>128</v>
      </c>
      <c r="B135" s="9" t="s">
        <v>385</v>
      </c>
      <c r="C135" s="10" t="s">
        <v>386</v>
      </c>
      <c r="D135" s="10" t="s">
        <v>387</v>
      </c>
      <c r="E135" s="8" t="s">
        <v>23</v>
      </c>
      <c r="F135" s="15">
        <v>2110.0</v>
      </c>
      <c r="G135" s="13">
        <f>F135*135</f>
        <v>284850</v>
      </c>
      <c r="H135" s="18" t="s">
        <v>14</v>
      </c>
    </row>
    <row r="136" spans="1:8" outlineLevel="1">
      <c r="A136" s="18">
        <v>129</v>
      </c>
      <c r="B136" s="9" t="s">
        <v>388</v>
      </c>
      <c r="C136" s="10" t="s">
        <v>389</v>
      </c>
      <c r="D136" s="10" t="s">
        <v>390</v>
      </c>
      <c r="E136" s="8">
        <v>1000.0</v>
      </c>
      <c r="F136" s="15">
        <v>32545.0</v>
      </c>
      <c r="G136" s="13">
        <f>F136*136</f>
        <v>4426120</v>
      </c>
      <c r="H136" s="18" t="s">
        <v>14</v>
      </c>
    </row>
    <row r="137" spans="1:8" outlineLevel="1">
      <c r="A137" s="18">
        <v>130</v>
      </c>
      <c r="B137" s="9" t="s">
        <v>391</v>
      </c>
      <c r="C137" s="10" t="s">
        <v>392</v>
      </c>
      <c r="D137" s="10" t="s">
        <v>393</v>
      </c>
      <c r="E137" s="8" t="s">
        <v>23</v>
      </c>
      <c r="F137" s="15">
        <v>252.0</v>
      </c>
      <c r="G137" s="13">
        <f>F137*137</f>
        <v>34524</v>
      </c>
      <c r="H137" s="18" t="s">
        <v>14</v>
      </c>
    </row>
    <row r="138" spans="1:8" outlineLevel="1">
      <c r="A138" s="18">
        <v>131</v>
      </c>
      <c r="B138" s="9" t="s">
        <v>394</v>
      </c>
      <c r="C138" s="10" t="s">
        <v>395</v>
      </c>
      <c r="D138" s="10" t="s">
        <v>396</v>
      </c>
      <c r="E138" s="8" t="s">
        <v>23</v>
      </c>
      <c r="F138" s="15">
        <v>1328.0</v>
      </c>
      <c r="G138" s="13">
        <f>F138*138</f>
        <v>183264</v>
      </c>
      <c r="H138" s="18" t="s">
        <v>14</v>
      </c>
    </row>
    <row r="139" spans="1:8" outlineLevel="1">
      <c r="A139" s="18">
        <v>132</v>
      </c>
      <c r="B139" s="9" t="s">
        <v>397</v>
      </c>
      <c r="C139" s="10" t="s">
        <v>398</v>
      </c>
      <c r="D139" s="10" t="s">
        <v>399</v>
      </c>
      <c r="E139" s="8" t="s">
        <v>23</v>
      </c>
      <c r="F139" s="15">
        <v>443.0</v>
      </c>
      <c r="G139" s="13">
        <f>F139*139</f>
        <v>61577</v>
      </c>
      <c r="H139" s="18" t="s">
        <v>14</v>
      </c>
    </row>
    <row r="140" spans="1:8" outlineLevel="1">
      <c r="A140" s="18">
        <v>133</v>
      </c>
      <c r="B140" s="9" t="s">
        <v>400</v>
      </c>
      <c r="C140" s="10" t="s">
        <v>398</v>
      </c>
      <c r="D140" s="10" t="s">
        <v>401</v>
      </c>
      <c r="E140" s="8" t="s">
        <v>23</v>
      </c>
      <c r="F140" s="15">
        <v>781.0</v>
      </c>
      <c r="G140" s="13">
        <f>F140*140</f>
        <v>109340</v>
      </c>
      <c r="H140" s="18" t="s">
        <v>14</v>
      </c>
    </row>
    <row r="141" spans="1:8" outlineLevel="1">
      <c r="A141" s="18">
        <v>134</v>
      </c>
      <c r="B141" s="9" t="s">
        <v>402</v>
      </c>
      <c r="C141" s="10" t="s">
        <v>403</v>
      </c>
      <c r="D141" s="10" t="s">
        <v>404</v>
      </c>
      <c r="E141" s="8" t="s">
        <v>23</v>
      </c>
      <c r="F141" s="15">
        <v>1787.0</v>
      </c>
      <c r="G141" s="13">
        <f>F141*141</f>
        <v>251967</v>
      </c>
      <c r="H141" s="18" t="s">
        <v>14</v>
      </c>
    </row>
    <row r="142" spans="1:8" outlineLevel="1">
      <c r="A142" s="18">
        <v>135</v>
      </c>
      <c r="B142" s="9" t="s">
        <v>405</v>
      </c>
      <c r="C142" s="10" t="s">
        <v>406</v>
      </c>
      <c r="D142" s="10" t="s">
        <v>407</v>
      </c>
      <c r="E142" s="8" t="s">
        <v>23</v>
      </c>
      <c r="F142" s="15">
        <v>937.0</v>
      </c>
      <c r="G142" s="13">
        <f>F142*142</f>
        <v>133054</v>
      </c>
      <c r="H142" s="18" t="s">
        <v>14</v>
      </c>
    </row>
    <row r="143" spans="1:8" outlineLevel="1">
      <c r="A143" s="18">
        <v>136</v>
      </c>
      <c r="B143" s="9" t="s">
        <v>408</v>
      </c>
      <c r="C143" s="10" t="s">
        <v>409</v>
      </c>
      <c r="D143" s="10" t="s">
        <v>410</v>
      </c>
      <c r="E143" s="8">
        <v>1000.0</v>
      </c>
      <c r="F143" s="15">
        <v>759.0</v>
      </c>
      <c r="G143" s="13">
        <f>F143*143</f>
        <v>108537</v>
      </c>
      <c r="H143" s="18" t="s">
        <v>14</v>
      </c>
    </row>
    <row r="144" spans="1:8" outlineLevel="1">
      <c r="A144" s="18">
        <v>137</v>
      </c>
      <c r="B144" s="9" t="s">
        <v>411</v>
      </c>
      <c r="C144" s="10" t="s">
        <v>412</v>
      </c>
      <c r="D144" s="10" t="s">
        <v>413</v>
      </c>
      <c r="E144" s="8" t="s">
        <v>23</v>
      </c>
      <c r="F144" s="15">
        <v>116.0</v>
      </c>
      <c r="G144" s="13">
        <f>F144*144</f>
        <v>16704</v>
      </c>
      <c r="H144" s="18" t="s">
        <v>14</v>
      </c>
    </row>
    <row r="145" spans="1:8" outlineLevel="1">
      <c r="A145" s="18">
        <v>138</v>
      </c>
      <c r="B145" s="9" t="s">
        <v>414</v>
      </c>
      <c r="C145" s="10" t="s">
        <v>415</v>
      </c>
      <c r="D145" s="10" t="s">
        <v>416</v>
      </c>
      <c r="E145" s="8" t="s">
        <v>23</v>
      </c>
      <c r="F145" s="15">
        <v>47.0</v>
      </c>
      <c r="G145" s="13">
        <f>F145*145</f>
        <v>6815</v>
      </c>
      <c r="H145" s="18" t="s">
        <v>14</v>
      </c>
    </row>
    <row r="146" spans="1:8" outlineLevel="1">
      <c r="A146" s="18">
        <v>139</v>
      </c>
      <c r="B146" s="9" t="s">
        <v>417</v>
      </c>
      <c r="C146" s="10" t="s">
        <v>418</v>
      </c>
      <c r="D146" s="10" t="s">
        <v>419</v>
      </c>
      <c r="E146" s="8" t="s">
        <v>23</v>
      </c>
      <c r="F146" s="15">
        <v>3011.0</v>
      </c>
      <c r="G146" s="13">
        <f>F146*146</f>
        <v>439606</v>
      </c>
      <c r="H146" s="18" t="s">
        <v>14</v>
      </c>
    </row>
    <row r="147" spans="1:8" outlineLevel="1">
      <c r="A147" s="18">
        <v>140</v>
      </c>
      <c r="B147" s="9" t="s">
        <v>420</v>
      </c>
      <c r="C147" s="10" t="s">
        <v>421</v>
      </c>
      <c r="D147" s="10" t="s">
        <v>422</v>
      </c>
      <c r="E147" s="8" t="s">
        <v>23</v>
      </c>
      <c r="F147" s="15">
        <v>480.0</v>
      </c>
      <c r="G147" s="13">
        <f>F147*147</f>
        <v>70560</v>
      </c>
      <c r="H147" s="18" t="s">
        <v>14</v>
      </c>
    </row>
    <row r="148" spans="1:8" outlineLevel="1">
      <c r="A148" s="18">
        <v>141</v>
      </c>
      <c r="B148" s="9" t="s">
        <v>423</v>
      </c>
      <c r="C148" s="10" t="s">
        <v>424</v>
      </c>
      <c r="D148" s="10" t="s">
        <v>425</v>
      </c>
      <c r="E148" s="8" t="s">
        <v>23</v>
      </c>
      <c r="F148" s="15">
        <v>177.0</v>
      </c>
      <c r="G148" s="13">
        <f>F148*148</f>
        <v>26196</v>
      </c>
      <c r="H148" s="18" t="s">
        <v>14</v>
      </c>
    </row>
    <row r="149" spans="1:8" outlineLevel="1">
      <c r="A149" s="18">
        <v>142</v>
      </c>
      <c r="B149" s="9" t="s">
        <v>426</v>
      </c>
      <c r="C149" s="10" t="s">
        <v>427</v>
      </c>
      <c r="D149" s="10" t="s">
        <v>428</v>
      </c>
      <c r="E149" s="8">
        <v>1000.0</v>
      </c>
      <c r="F149" s="15">
        <v>273.0</v>
      </c>
      <c r="G149" s="13">
        <f>F149*149</f>
        <v>40677</v>
      </c>
      <c r="H149" s="18" t="s">
        <v>14</v>
      </c>
    </row>
    <row r="150" spans="1:8" outlineLevel="1">
      <c r="A150" s="18">
        <v>143</v>
      </c>
      <c r="B150" s="9" t="s">
        <v>429</v>
      </c>
      <c r="C150" s="10" t="s">
        <v>430</v>
      </c>
      <c r="D150" s="10" t="s">
        <v>431</v>
      </c>
      <c r="E150" s="8">
        <v>1000.0</v>
      </c>
      <c r="F150" s="15">
        <v>577.0</v>
      </c>
      <c r="G150" s="13">
        <f>F150*150</f>
        <v>86550</v>
      </c>
      <c r="H150" s="18" t="s">
        <v>14</v>
      </c>
    </row>
    <row r="151" spans="1:8" outlineLevel="1">
      <c r="A151" s="18">
        <v>144</v>
      </c>
      <c r="B151" s="9" t="s">
        <v>432</v>
      </c>
      <c r="C151" s="10" t="s">
        <v>433</v>
      </c>
      <c r="D151" s="10" t="s">
        <v>434</v>
      </c>
      <c r="E151" s="8">
        <v>1000.0</v>
      </c>
      <c r="F151" s="15">
        <v>413.0</v>
      </c>
      <c r="G151" s="13">
        <f>F151*151</f>
        <v>62363</v>
      </c>
      <c r="H151" s="18" t="s">
        <v>14</v>
      </c>
    </row>
    <row r="152" spans="1:8" outlineLevel="1">
      <c r="A152" s="18">
        <v>145</v>
      </c>
      <c r="B152" s="9" t="s">
        <v>435</v>
      </c>
      <c r="C152" s="10" t="s">
        <v>436</v>
      </c>
      <c r="D152" s="10" t="s">
        <v>437</v>
      </c>
      <c r="E152" s="8">
        <v>1000.0</v>
      </c>
      <c r="F152" s="15">
        <v>936.0</v>
      </c>
      <c r="G152" s="13">
        <f>F152*152</f>
        <v>142272</v>
      </c>
      <c r="H152" s="18" t="s">
        <v>14</v>
      </c>
    </row>
    <row r="153" spans="1:8" outlineLevel="1">
      <c r="A153" s="18">
        <v>146</v>
      </c>
      <c r="B153" s="9" t="s">
        <v>438</v>
      </c>
      <c r="C153" s="10" t="s">
        <v>439</v>
      </c>
      <c r="D153" s="10" t="s">
        <v>440</v>
      </c>
      <c r="E153" s="8" t="s">
        <v>23</v>
      </c>
      <c r="F153" s="15">
        <v>594.0</v>
      </c>
      <c r="G153" s="13">
        <f>F153*153</f>
        <v>90882</v>
      </c>
      <c r="H153" s="18" t="s">
        <v>14</v>
      </c>
    </row>
    <row r="154" spans="1:8" outlineLevel="1">
      <c r="A154" s="18">
        <v>147</v>
      </c>
      <c r="B154" s="9" t="s">
        <v>441</v>
      </c>
      <c r="C154" s="10" t="s">
        <v>442</v>
      </c>
      <c r="D154" s="10" t="s">
        <v>443</v>
      </c>
      <c r="E154" s="8" t="s">
        <v>23</v>
      </c>
      <c r="F154" s="15">
        <v>6046.0</v>
      </c>
      <c r="G154" s="13">
        <f>F154*154</f>
        <v>931084</v>
      </c>
      <c r="H154" s="18" t="s">
        <v>14</v>
      </c>
    </row>
    <row r="155" spans="1:8" outlineLevel="1">
      <c r="A155" s="18">
        <v>148</v>
      </c>
      <c r="B155" s="9" t="s">
        <v>444</v>
      </c>
      <c r="C155" s="10" t="s">
        <v>445</v>
      </c>
      <c r="D155" s="10" t="s">
        <v>446</v>
      </c>
      <c r="E155" s="8" t="s">
        <v>23</v>
      </c>
      <c r="F155" s="15">
        <v>51.0</v>
      </c>
      <c r="G155" s="13">
        <f>F155*155</f>
        <v>7905</v>
      </c>
      <c r="H155" s="18" t="s">
        <v>14</v>
      </c>
    </row>
    <row r="156" spans="1:8" outlineLevel="1">
      <c r="A156" s="18">
        <v>149</v>
      </c>
      <c r="B156" s="9" t="s">
        <v>447</v>
      </c>
      <c r="C156" s="10" t="s">
        <v>445</v>
      </c>
      <c r="D156" s="10" t="s">
        <v>448</v>
      </c>
      <c r="E156" s="8" t="s">
        <v>23</v>
      </c>
      <c r="F156" s="15">
        <v>812.0</v>
      </c>
      <c r="G156" s="13">
        <f>F156*156</f>
        <v>126672</v>
      </c>
      <c r="H156" s="18" t="s">
        <v>14</v>
      </c>
    </row>
    <row r="157" spans="1:8" outlineLevel="1">
      <c r="A157" s="18">
        <v>150</v>
      </c>
      <c r="B157" s="9" t="s">
        <v>449</v>
      </c>
      <c r="C157" s="10" t="s">
        <v>450</v>
      </c>
      <c r="D157" s="10" t="s">
        <v>451</v>
      </c>
      <c r="E157" s="8">
        <v>1000.0</v>
      </c>
      <c r="F157" s="15">
        <v>89.0</v>
      </c>
      <c r="G157" s="13">
        <f>F157*157</f>
        <v>13973</v>
      </c>
      <c r="H157" s="18" t="s">
        <v>14</v>
      </c>
    </row>
    <row r="158" spans="1:8" outlineLevel="1">
      <c r="A158" s="18">
        <v>151</v>
      </c>
      <c r="B158" s="9" t="s">
        <v>452</v>
      </c>
      <c r="C158" s="10" t="s">
        <v>453</v>
      </c>
      <c r="D158" s="10" t="s">
        <v>454</v>
      </c>
      <c r="E158" s="8" t="s">
        <v>23</v>
      </c>
      <c r="F158" s="15">
        <v>2630.0</v>
      </c>
      <c r="G158" s="13">
        <f>F158*158</f>
        <v>415540</v>
      </c>
      <c r="H158" s="18" t="s">
        <v>14</v>
      </c>
    </row>
    <row r="159" spans="1:8" outlineLevel="1">
      <c r="A159" s="18">
        <v>152</v>
      </c>
      <c r="B159" s="9" t="s">
        <v>455</v>
      </c>
      <c r="C159" s="10" t="s">
        <v>456</v>
      </c>
      <c r="D159" s="10" t="s">
        <v>457</v>
      </c>
      <c r="E159" s="8" t="s">
        <v>23</v>
      </c>
      <c r="F159" s="15">
        <v>472.0</v>
      </c>
      <c r="G159" s="13">
        <f>F159*159</f>
        <v>75048</v>
      </c>
      <c r="H159" s="18" t="s">
        <v>14</v>
      </c>
    </row>
    <row r="160" spans="1:8" outlineLevel="1">
      <c r="A160" s="18">
        <v>153</v>
      </c>
      <c r="B160" s="9" t="s">
        <v>458</v>
      </c>
      <c r="C160" s="10" t="s">
        <v>456</v>
      </c>
      <c r="D160" s="10" t="s">
        <v>459</v>
      </c>
      <c r="E160" s="8" t="s">
        <v>23</v>
      </c>
      <c r="F160" s="15">
        <v>922.0</v>
      </c>
      <c r="G160" s="13">
        <f>F160*160</f>
        <v>147520</v>
      </c>
      <c r="H160" s="18" t="s">
        <v>14</v>
      </c>
    </row>
    <row r="161" spans="1:8" outlineLevel="1">
      <c r="A161" s="18">
        <v>154</v>
      </c>
      <c r="B161" s="9" t="s">
        <v>460</v>
      </c>
      <c r="C161" s="10" t="s">
        <v>461</v>
      </c>
      <c r="D161" s="10" t="s">
        <v>462</v>
      </c>
      <c r="E161" s="8" t="s">
        <v>23</v>
      </c>
      <c r="F161" s="15">
        <v>1229.0</v>
      </c>
      <c r="G161" s="13">
        <f>F161*161</f>
        <v>197869</v>
      </c>
      <c r="H161" s="18" t="s">
        <v>14</v>
      </c>
    </row>
    <row r="162" spans="1:8" outlineLevel="1">
      <c r="A162" s="18">
        <v>155</v>
      </c>
      <c r="B162" s="9" t="s">
        <v>463</v>
      </c>
      <c r="C162" s="10" t="s">
        <v>464</v>
      </c>
      <c r="D162" s="10" t="s">
        <v>465</v>
      </c>
      <c r="E162" s="8" t="s">
        <v>23</v>
      </c>
      <c r="F162" s="15">
        <v>520.0</v>
      </c>
      <c r="G162" s="13">
        <f>F162*162</f>
        <v>84240</v>
      </c>
      <c r="H162" s="18" t="s">
        <v>14</v>
      </c>
    </row>
    <row r="163" spans="1:8" outlineLevel="1">
      <c r="A163" s="18">
        <v>156</v>
      </c>
      <c r="B163" s="9" t="s">
        <v>466</v>
      </c>
      <c r="C163" s="10" t="s">
        <v>464</v>
      </c>
      <c r="D163" s="10" t="s">
        <v>467</v>
      </c>
      <c r="E163" s="8" t="s">
        <v>23</v>
      </c>
      <c r="F163" s="15">
        <v>1109.0</v>
      </c>
      <c r="G163" s="13">
        <f>F163*163</f>
        <v>180767</v>
      </c>
      <c r="H163" s="18" t="s">
        <v>14</v>
      </c>
    </row>
    <row r="164" spans="1:8" outlineLevel="1">
      <c r="A164" s="18">
        <v>157</v>
      </c>
      <c r="B164" s="9" t="s">
        <v>468</v>
      </c>
      <c r="C164" s="10" t="s">
        <v>469</v>
      </c>
      <c r="D164" s="10" t="s">
        <v>470</v>
      </c>
      <c r="E164" s="8">
        <v>1000.0</v>
      </c>
      <c r="F164" s="15">
        <v>729.0</v>
      </c>
      <c r="G164" s="13">
        <f>F164*164</f>
        <v>119556</v>
      </c>
      <c r="H164" s="18" t="s">
        <v>14</v>
      </c>
    </row>
    <row r="165" spans="1:8" outlineLevel="1">
      <c r="A165" s="18">
        <v>158</v>
      </c>
      <c r="B165" s="9" t="s">
        <v>471</v>
      </c>
      <c r="C165" s="10" t="s">
        <v>472</v>
      </c>
      <c r="D165" s="10" t="s">
        <v>473</v>
      </c>
      <c r="E165" s="8" t="s">
        <v>23</v>
      </c>
      <c r="F165" s="15">
        <v>1140.0</v>
      </c>
      <c r="G165" s="13">
        <f>F165*165</f>
        <v>188100</v>
      </c>
      <c r="H165" s="18" t="s">
        <v>14</v>
      </c>
    </row>
    <row r="166" spans="1:8" outlineLevel="1">
      <c r="A166" s="18">
        <v>159</v>
      </c>
      <c r="B166" s="9" t="s">
        <v>474</v>
      </c>
      <c r="C166" s="10" t="s">
        <v>475</v>
      </c>
      <c r="D166" s="10" t="s">
        <v>476</v>
      </c>
      <c r="E166" s="8" t="s">
        <v>23</v>
      </c>
      <c r="F166" s="15">
        <v>552.0</v>
      </c>
      <c r="G166" s="13">
        <f>F166*166</f>
        <v>91632</v>
      </c>
      <c r="H166" s="18" t="s">
        <v>14</v>
      </c>
    </row>
    <row r="167" spans="1:8" outlineLevel="1">
      <c r="A167" s="18">
        <v>160</v>
      </c>
      <c r="B167" s="9" t="s">
        <v>477</v>
      </c>
      <c r="C167" s="10" t="s">
        <v>478</v>
      </c>
      <c r="D167" s="10" t="s">
        <v>479</v>
      </c>
      <c r="E167" s="8" t="s">
        <v>23</v>
      </c>
      <c r="F167" s="15">
        <v>381.0</v>
      </c>
      <c r="G167" s="13">
        <f>F167*167</f>
        <v>63627</v>
      </c>
      <c r="H167" s="18" t="s">
        <v>14</v>
      </c>
    </row>
    <row r="168" spans="1:8" outlineLevel="1">
      <c r="A168" s="18">
        <v>161</v>
      </c>
      <c r="B168" s="9" t="s">
        <v>480</v>
      </c>
      <c r="C168" s="10" t="s">
        <v>481</v>
      </c>
      <c r="D168" s="10" t="s">
        <v>482</v>
      </c>
      <c r="E168" s="8">
        <v>1000.0</v>
      </c>
      <c r="F168" s="15">
        <v>1912.0</v>
      </c>
      <c r="G168" s="13">
        <f>F168*168</f>
        <v>321216</v>
      </c>
      <c r="H168" s="18" t="s">
        <v>14</v>
      </c>
    </row>
    <row r="169" spans="1:8" outlineLevel="1">
      <c r="A169" s="18">
        <v>162</v>
      </c>
      <c r="B169" s="9" t="s">
        <v>483</v>
      </c>
      <c r="C169" s="10" t="s">
        <v>484</v>
      </c>
      <c r="D169" s="10" t="s">
        <v>485</v>
      </c>
      <c r="E169" s="8" t="s">
        <v>23</v>
      </c>
      <c r="F169" s="15">
        <v>2591.0</v>
      </c>
      <c r="G169" s="13">
        <f>F169*169</f>
        <v>437879</v>
      </c>
      <c r="H169" s="18" t="s">
        <v>14</v>
      </c>
    </row>
    <row r="170" spans="1:8" outlineLevel="1">
      <c r="A170" s="18">
        <v>163</v>
      </c>
      <c r="B170" s="9" t="s">
        <v>486</v>
      </c>
      <c r="C170" s="10" t="s">
        <v>487</v>
      </c>
      <c r="D170" s="10" t="s">
        <v>488</v>
      </c>
      <c r="E170" s="8" t="s">
        <v>23</v>
      </c>
      <c r="F170" s="15">
        <v>1344.0</v>
      </c>
      <c r="G170" s="13">
        <f>F170*170</f>
        <v>228480</v>
      </c>
      <c r="H170" s="18" t="s">
        <v>14</v>
      </c>
    </row>
    <row r="171" spans="1:8" outlineLevel="1">
      <c r="A171" s="18">
        <v>164</v>
      </c>
      <c r="B171" s="9" t="s">
        <v>489</v>
      </c>
      <c r="C171" s="10" t="s">
        <v>490</v>
      </c>
      <c r="D171" s="10" t="s">
        <v>491</v>
      </c>
      <c r="E171" s="8" t="s">
        <v>23</v>
      </c>
      <c r="F171" s="15">
        <v>2313.0</v>
      </c>
      <c r="G171" s="13">
        <f>F171*171</f>
        <v>395523</v>
      </c>
      <c r="H171" s="18" t="s">
        <v>14</v>
      </c>
    </row>
    <row r="172" spans="1:8" outlineLevel="1">
      <c r="A172" s="18">
        <v>165</v>
      </c>
      <c r="B172" s="9" t="s">
        <v>492</v>
      </c>
      <c r="C172" s="10" t="s">
        <v>493</v>
      </c>
      <c r="D172" s="10" t="s">
        <v>494</v>
      </c>
      <c r="E172" s="8" t="s">
        <v>23</v>
      </c>
      <c r="F172" s="15">
        <v>563.0</v>
      </c>
      <c r="G172" s="13">
        <f>F172*172</f>
        <v>96836</v>
      </c>
      <c r="H172" s="18" t="s">
        <v>14</v>
      </c>
    </row>
    <row r="173" spans="1:8" outlineLevel="1">
      <c r="A173" s="18">
        <v>166</v>
      </c>
      <c r="B173" s="9" t="s">
        <v>495</v>
      </c>
      <c r="C173" s="10" t="s">
        <v>496</v>
      </c>
      <c r="D173" s="10" t="s">
        <v>497</v>
      </c>
      <c r="E173" s="8">
        <v>1000.0</v>
      </c>
      <c r="F173" s="15">
        <v>1571.0</v>
      </c>
      <c r="G173" s="13">
        <f>F173*173</f>
        <v>271783</v>
      </c>
      <c r="H173" s="18" t="s">
        <v>14</v>
      </c>
    </row>
    <row r="174" spans="1:8" outlineLevel="1">
      <c r="A174" s="18">
        <v>167</v>
      </c>
      <c r="B174" s="9" t="s">
        <v>498</v>
      </c>
      <c r="C174" s="10" t="s">
        <v>499</v>
      </c>
      <c r="D174" s="10" t="s">
        <v>500</v>
      </c>
      <c r="E174" s="8" t="s">
        <v>23</v>
      </c>
      <c r="F174" s="15">
        <v>175.0</v>
      </c>
      <c r="G174" s="13">
        <f>F174*174</f>
        <v>30450</v>
      </c>
      <c r="H174" s="18" t="s">
        <v>14</v>
      </c>
    </row>
    <row r="175" spans="1:8" outlineLevel="1">
      <c r="A175" s="18">
        <v>168</v>
      </c>
      <c r="B175" s="9" t="s">
        <v>501</v>
      </c>
      <c r="C175" s="10" t="s">
        <v>502</v>
      </c>
      <c r="D175" s="10" t="s">
        <v>503</v>
      </c>
      <c r="E175" s="8" t="s">
        <v>23</v>
      </c>
      <c r="F175" s="15">
        <v>1085.0</v>
      </c>
      <c r="G175" s="13">
        <f>F175*175</f>
        <v>189875</v>
      </c>
      <c r="H175" s="18" t="s">
        <v>14</v>
      </c>
    </row>
    <row r="176" spans="1:8" outlineLevel="1">
      <c r="A176" s="18">
        <v>169</v>
      </c>
      <c r="B176" s="9" t="s">
        <v>504</v>
      </c>
      <c r="C176" s="10" t="s">
        <v>505</v>
      </c>
      <c r="D176" s="10" t="s">
        <v>506</v>
      </c>
      <c r="E176" s="8">
        <v>1000.0</v>
      </c>
      <c r="F176" s="15">
        <v>545.0</v>
      </c>
      <c r="G176" s="13">
        <f>F176*176</f>
        <v>95920</v>
      </c>
      <c r="H176" s="18" t="s">
        <v>14</v>
      </c>
    </row>
    <row r="177" spans="1:8" outlineLevel="1">
      <c r="A177" s="18">
        <v>170</v>
      </c>
      <c r="B177" s="9" t="s">
        <v>507</v>
      </c>
      <c r="C177" s="10" t="s">
        <v>508</v>
      </c>
      <c r="D177" s="10" t="s">
        <v>509</v>
      </c>
      <c r="E177" s="8" t="s">
        <v>23</v>
      </c>
      <c r="F177" s="15">
        <v>879.0</v>
      </c>
      <c r="G177" s="13">
        <f>F177*177</f>
        <v>155583</v>
      </c>
      <c r="H177" s="18" t="s">
        <v>14</v>
      </c>
    </row>
    <row r="178" spans="1:8" outlineLevel="1">
      <c r="A178" s="18">
        <v>171</v>
      </c>
      <c r="B178" s="9" t="s">
        <v>510</v>
      </c>
      <c r="C178" s="10" t="s">
        <v>511</v>
      </c>
      <c r="D178" s="10" t="s">
        <v>512</v>
      </c>
      <c r="E178" s="8" t="s">
        <v>23</v>
      </c>
      <c r="F178" s="15">
        <v>156.0</v>
      </c>
      <c r="G178" s="13">
        <f>F178*178</f>
        <v>27768</v>
      </c>
      <c r="H178" s="18" t="s">
        <v>14</v>
      </c>
    </row>
    <row r="179" spans="1:8" outlineLevel="1">
      <c r="A179" s="18">
        <v>172</v>
      </c>
      <c r="B179" s="9" t="s">
        <v>513</v>
      </c>
      <c r="C179" s="10" t="s">
        <v>514</v>
      </c>
      <c r="D179" s="10" t="s">
        <v>515</v>
      </c>
      <c r="E179" s="8" t="s">
        <v>23</v>
      </c>
      <c r="F179" s="15">
        <v>84.0</v>
      </c>
      <c r="G179" s="13">
        <f>F179*179</f>
        <v>15036</v>
      </c>
      <c r="H179" s="18" t="s">
        <v>14</v>
      </c>
    </row>
    <row r="180" spans="1:8" outlineLevel="1">
      <c r="A180" s="18">
        <v>173</v>
      </c>
      <c r="B180" s="9" t="s">
        <v>516</v>
      </c>
      <c r="C180" s="10" t="s">
        <v>517</v>
      </c>
      <c r="D180" s="10" t="s">
        <v>518</v>
      </c>
      <c r="E180" s="8" t="s">
        <v>23</v>
      </c>
      <c r="F180" s="15">
        <v>60.0</v>
      </c>
      <c r="G180" s="13">
        <f>F180*180</f>
        <v>10800</v>
      </c>
      <c r="H180" s="18" t="s">
        <v>14</v>
      </c>
    </row>
    <row r="181" spans="1:8" outlineLevel="1">
      <c r="A181" s="18">
        <v>174</v>
      </c>
      <c r="B181" s="9" t="s">
        <v>519</v>
      </c>
      <c r="C181" s="10" t="s">
        <v>517</v>
      </c>
      <c r="D181" s="10" t="s">
        <v>520</v>
      </c>
      <c r="E181" s="8" t="s">
        <v>23</v>
      </c>
      <c r="F181" s="15">
        <v>204.0</v>
      </c>
      <c r="G181" s="13">
        <f>F181*181</f>
        <v>36924</v>
      </c>
      <c r="H181" s="18" t="s">
        <v>14</v>
      </c>
    </row>
    <row r="182" spans="1:8" outlineLevel="1">
      <c r="A182" s="18">
        <v>175</v>
      </c>
      <c r="B182" s="9" t="s">
        <v>521</v>
      </c>
      <c r="C182" s="10" t="s">
        <v>522</v>
      </c>
      <c r="D182" s="10" t="s">
        <v>523</v>
      </c>
      <c r="E182" s="8" t="s">
        <v>23</v>
      </c>
      <c r="F182" s="15">
        <v>36.0</v>
      </c>
      <c r="G182" s="13">
        <f>F182*182</f>
        <v>6552</v>
      </c>
      <c r="H182" s="18" t="s">
        <v>14</v>
      </c>
    </row>
    <row r="183" spans="1:8" outlineLevel="1">
      <c r="A183" s="18">
        <v>176</v>
      </c>
      <c r="B183" s="9" t="s">
        <v>524</v>
      </c>
      <c r="C183" s="10" t="s">
        <v>522</v>
      </c>
      <c r="D183" s="10" t="s">
        <v>525</v>
      </c>
      <c r="E183" s="8" t="s">
        <v>23</v>
      </c>
      <c r="F183" s="15">
        <v>938.0</v>
      </c>
      <c r="G183" s="13">
        <f>F183*183</f>
        <v>171654</v>
      </c>
      <c r="H183" s="18" t="s">
        <v>14</v>
      </c>
    </row>
    <row r="184" spans="1:8" outlineLevel="1">
      <c r="A184" s="18">
        <v>177</v>
      </c>
      <c r="B184" s="9" t="s">
        <v>526</v>
      </c>
      <c r="C184" s="10" t="s">
        <v>527</v>
      </c>
      <c r="D184" s="10" t="s">
        <v>528</v>
      </c>
      <c r="E184" s="8" t="s">
        <v>23</v>
      </c>
      <c r="F184" s="15">
        <v>21.0</v>
      </c>
      <c r="G184" s="13">
        <f>F184*184</f>
        <v>3864</v>
      </c>
      <c r="H184" s="18" t="s">
        <v>14</v>
      </c>
    </row>
    <row r="185" spans="1:8" outlineLevel="1">
      <c r="A185" s="18">
        <v>178</v>
      </c>
      <c r="B185" s="9" t="s">
        <v>529</v>
      </c>
      <c r="C185" s="10" t="s">
        <v>530</v>
      </c>
      <c r="D185" s="10" t="s">
        <v>531</v>
      </c>
      <c r="E185" s="8" t="s">
        <v>23</v>
      </c>
      <c r="F185" s="15">
        <v>999.0</v>
      </c>
      <c r="G185" s="13">
        <f>F185*185</f>
        <v>184815</v>
      </c>
      <c r="H185" s="18" t="s">
        <v>14</v>
      </c>
    </row>
    <row r="186" spans="1:8" outlineLevel="1">
      <c r="A186" s="18">
        <v>179</v>
      </c>
      <c r="B186" s="9" t="s">
        <v>532</v>
      </c>
      <c r="C186" s="10" t="s">
        <v>533</v>
      </c>
      <c r="D186" s="10" t="s">
        <v>534</v>
      </c>
      <c r="E186" s="8">
        <v>1000.0</v>
      </c>
      <c r="F186" s="15">
        <v>450.0</v>
      </c>
      <c r="G186" s="13">
        <f>F186*186</f>
        <v>83700</v>
      </c>
      <c r="H186" s="18" t="s">
        <v>14</v>
      </c>
    </row>
    <row r="187" spans="1:8" outlineLevel="1">
      <c r="A187" s="18">
        <v>180</v>
      </c>
      <c r="B187" s="9" t="s">
        <v>535</v>
      </c>
      <c r="C187" s="10" t="s">
        <v>536</v>
      </c>
      <c r="D187" s="10" t="s">
        <v>537</v>
      </c>
      <c r="E187" s="8">
        <v>1000.0</v>
      </c>
      <c r="F187" s="15">
        <v>450.0</v>
      </c>
      <c r="G187" s="13">
        <f>F187*187</f>
        <v>84150</v>
      </c>
      <c r="H187" s="18" t="s">
        <v>14</v>
      </c>
    </row>
    <row r="188" spans="1:8" outlineLevel="1">
      <c r="A188" s="18">
        <v>181</v>
      </c>
      <c r="B188" s="9" t="s">
        <v>538</v>
      </c>
      <c r="C188" s="10" t="s">
        <v>539</v>
      </c>
      <c r="D188" s="10" t="s">
        <v>540</v>
      </c>
      <c r="E188" s="8">
        <v>1000.0</v>
      </c>
      <c r="F188" s="15">
        <v>16180.0</v>
      </c>
      <c r="G188" s="13">
        <f>F188*188</f>
        <v>3041840</v>
      </c>
      <c r="H188" s="18" t="s">
        <v>14</v>
      </c>
    </row>
    <row r="189" spans="1:8" outlineLevel="1">
      <c r="A189" s="18">
        <v>182</v>
      </c>
      <c r="B189" s="9" t="s">
        <v>541</v>
      </c>
      <c r="C189" s="10" t="s">
        <v>542</v>
      </c>
      <c r="D189" s="10" t="s">
        <v>543</v>
      </c>
      <c r="E189" s="8">
        <v>1000.0</v>
      </c>
      <c r="F189" s="15">
        <v>19115.0</v>
      </c>
      <c r="G189" s="13">
        <f>F189*189</f>
        <v>3612735</v>
      </c>
      <c r="H189" s="18" t="s">
        <v>14</v>
      </c>
    </row>
    <row r="190" spans="1:8" outlineLevel="1">
      <c r="A190" s="18">
        <v>183</v>
      </c>
      <c r="B190" s="9" t="s">
        <v>544</v>
      </c>
      <c r="C190" s="10" t="s">
        <v>545</v>
      </c>
      <c r="D190" s="10" t="s">
        <v>546</v>
      </c>
      <c r="E190" s="8">
        <v>1000.0</v>
      </c>
      <c r="F190" s="15">
        <v>56011.0</v>
      </c>
      <c r="G190" s="13">
        <f>F190*190</f>
        <v>10642090</v>
      </c>
      <c r="H190" s="18" t="s">
        <v>14</v>
      </c>
    </row>
    <row r="191" spans="1:8" outlineLevel="1">
      <c r="A191" s="18">
        <v>184</v>
      </c>
      <c r="B191" s="9" t="s">
        <v>547</v>
      </c>
      <c r="C191" s="10" t="s">
        <v>548</v>
      </c>
      <c r="D191" s="10" t="s">
        <v>549</v>
      </c>
      <c r="E191" s="8">
        <v>1000.0</v>
      </c>
      <c r="F191" s="15">
        <v>1164.0</v>
      </c>
      <c r="G191" s="13">
        <f>F191*191</f>
        <v>222324</v>
      </c>
      <c r="H191" s="18" t="s">
        <v>14</v>
      </c>
    </row>
    <row r="192" spans="1:8" outlineLevel="1">
      <c r="A192" s="18">
        <v>185</v>
      </c>
      <c r="B192" s="9" t="s">
        <v>550</v>
      </c>
      <c r="C192" s="10" t="s">
        <v>551</v>
      </c>
      <c r="D192" s="10" t="s">
        <v>552</v>
      </c>
      <c r="E192" s="8">
        <v>1000.0</v>
      </c>
      <c r="F192" s="15">
        <v>72941.0</v>
      </c>
      <c r="G192" s="13">
        <f>F192*192</f>
        <v>14004672</v>
      </c>
      <c r="H192" s="18" t="s">
        <v>14</v>
      </c>
    </row>
    <row r="193" spans="1:8" outlineLevel="1">
      <c r="A193" s="18">
        <v>186</v>
      </c>
      <c r="B193" s="9" t="s">
        <v>553</v>
      </c>
      <c r="C193" s="10" t="s">
        <v>554</v>
      </c>
      <c r="D193" s="10" t="s">
        <v>555</v>
      </c>
      <c r="E193" s="8">
        <v>1000.0</v>
      </c>
      <c r="F193" s="15">
        <v>4129.0</v>
      </c>
      <c r="G193" s="13">
        <f>F193*193</f>
        <v>796897</v>
      </c>
      <c r="H193" s="18" t="s">
        <v>14</v>
      </c>
    </row>
    <row r="194" spans="1:8" outlineLevel="1">
      <c r="A194" s="18">
        <v>187</v>
      </c>
      <c r="B194" s="9" t="s">
        <v>556</v>
      </c>
      <c r="C194" s="10" t="s">
        <v>557</v>
      </c>
      <c r="D194" s="10" t="s">
        <v>558</v>
      </c>
      <c r="E194" s="8" t="s">
        <v>23</v>
      </c>
      <c r="F194" s="15">
        <v>1380.0</v>
      </c>
      <c r="G194" s="13">
        <f>F194*194</f>
        <v>267720</v>
      </c>
      <c r="H194" s="18" t="s">
        <v>14</v>
      </c>
    </row>
    <row r="195" spans="1:8" outlineLevel="1">
      <c r="A195" s="18">
        <v>188</v>
      </c>
      <c r="B195" s="9" t="s">
        <v>559</v>
      </c>
      <c r="C195" s="10" t="s">
        <v>557</v>
      </c>
      <c r="D195" s="10" t="s">
        <v>560</v>
      </c>
      <c r="E195" s="8" t="s">
        <v>23</v>
      </c>
      <c r="F195" s="15">
        <v>1426.0</v>
      </c>
      <c r="G195" s="13">
        <f>F195*195</f>
        <v>278070</v>
      </c>
      <c r="H195" s="18" t="s">
        <v>14</v>
      </c>
    </row>
    <row r="196" spans="1:8" outlineLevel="1">
      <c r="A196" s="18">
        <v>189</v>
      </c>
      <c r="B196" s="9" t="s">
        <v>561</v>
      </c>
      <c r="C196" s="10" t="s">
        <v>562</v>
      </c>
      <c r="D196" s="10" t="s">
        <v>563</v>
      </c>
      <c r="E196" s="8" t="s">
        <v>23</v>
      </c>
      <c r="F196" s="15">
        <v>336.0</v>
      </c>
      <c r="G196" s="13">
        <f>F196*196</f>
        <v>65856</v>
      </c>
      <c r="H196" s="18" t="s">
        <v>14</v>
      </c>
    </row>
    <row r="197" spans="1:8" outlineLevel="1">
      <c r="A197" s="18">
        <v>190</v>
      </c>
      <c r="B197" s="9" t="s">
        <v>564</v>
      </c>
      <c r="C197" s="10" t="s">
        <v>565</v>
      </c>
      <c r="D197" s="10" t="s">
        <v>566</v>
      </c>
      <c r="E197" s="8" t="s">
        <v>23</v>
      </c>
      <c r="F197" s="15">
        <v>1056.0</v>
      </c>
      <c r="G197" s="13">
        <f>F197*197</f>
        <v>208032</v>
      </c>
      <c r="H197" s="18" t="s">
        <v>14</v>
      </c>
    </row>
    <row r="198" spans="1:8" outlineLevel="1">
      <c r="A198" s="18">
        <v>191</v>
      </c>
      <c r="B198" s="9" t="s">
        <v>567</v>
      </c>
      <c r="C198" s="10" t="s">
        <v>568</v>
      </c>
      <c r="D198" s="10" t="s">
        <v>569</v>
      </c>
      <c r="E198" s="8" t="s">
        <v>23</v>
      </c>
      <c r="F198" s="15">
        <v>641.0</v>
      </c>
      <c r="G198" s="13">
        <f>F198*198</f>
        <v>126918</v>
      </c>
      <c r="H198" s="18" t="s">
        <v>14</v>
      </c>
    </row>
    <row r="199" spans="1:8" outlineLevel="1">
      <c r="A199" s="18">
        <v>192</v>
      </c>
      <c r="B199" s="9" t="s">
        <v>570</v>
      </c>
      <c r="C199" s="10" t="s">
        <v>568</v>
      </c>
      <c r="D199" s="10" t="s">
        <v>571</v>
      </c>
      <c r="E199" s="8" t="s">
        <v>23</v>
      </c>
      <c r="F199" s="15">
        <v>722.0</v>
      </c>
      <c r="G199" s="13">
        <f>F199*199</f>
        <v>143678</v>
      </c>
      <c r="H199" s="18" t="s">
        <v>14</v>
      </c>
    </row>
    <row r="200" spans="1:8" outlineLevel="1">
      <c r="A200" s="18">
        <v>193</v>
      </c>
      <c r="B200" s="9" t="s">
        <v>572</v>
      </c>
      <c r="C200" s="10" t="s">
        <v>573</v>
      </c>
      <c r="D200" s="10" t="s">
        <v>574</v>
      </c>
      <c r="E200" s="8">
        <v>1000.0</v>
      </c>
      <c r="F200" s="15">
        <v>444.0</v>
      </c>
      <c r="G200" s="13">
        <f>F200*200</f>
        <v>88800</v>
      </c>
      <c r="H200" s="18" t="s">
        <v>14</v>
      </c>
    </row>
    <row r="201" spans="1:8" outlineLevel="1">
      <c r="A201" s="18">
        <v>194</v>
      </c>
      <c r="B201" s="9" t="s">
        <v>575</v>
      </c>
      <c r="C201" s="10" t="s">
        <v>576</v>
      </c>
      <c r="D201" s="10" t="s">
        <v>577</v>
      </c>
      <c r="E201" s="8">
        <v>1000.0</v>
      </c>
      <c r="F201" s="15">
        <v>450.0</v>
      </c>
      <c r="G201" s="13">
        <f>F201*201</f>
        <v>90450</v>
      </c>
      <c r="H201" s="18" t="s">
        <v>14</v>
      </c>
    </row>
    <row r="202" spans="1:8" outlineLevel="1">
      <c r="A202" s="18">
        <v>195</v>
      </c>
      <c r="B202" s="9" t="s">
        <v>578</v>
      </c>
      <c r="C202" s="10" t="s">
        <v>579</v>
      </c>
      <c r="D202" s="10" t="s">
        <v>580</v>
      </c>
      <c r="E202" s="8">
        <v>1000.0</v>
      </c>
      <c r="F202" s="15">
        <v>450.0</v>
      </c>
      <c r="G202" s="13">
        <f>F202*202</f>
        <v>90900</v>
      </c>
      <c r="H202" s="18" t="s">
        <v>14</v>
      </c>
    </row>
    <row r="203" spans="1:8" outlineLevel="1">
      <c r="A203" s="18">
        <v>196</v>
      </c>
      <c r="B203" s="9" t="s">
        <v>581</v>
      </c>
      <c r="C203" s="10" t="s">
        <v>582</v>
      </c>
      <c r="D203" s="10" t="s">
        <v>583</v>
      </c>
      <c r="E203" s="8">
        <v>1000.0</v>
      </c>
      <c r="F203" s="15">
        <v>404.0</v>
      </c>
      <c r="G203" s="13">
        <f>F203*203</f>
        <v>82012</v>
      </c>
      <c r="H203" s="18" t="s">
        <v>14</v>
      </c>
    </row>
    <row r="204" spans="1:8" outlineLevel="1">
      <c r="A204" s="18">
        <v>197</v>
      </c>
      <c r="B204" s="9" t="s">
        <v>584</v>
      </c>
      <c r="C204" s="10" t="s">
        <v>585</v>
      </c>
      <c r="D204" s="10" t="s">
        <v>586</v>
      </c>
      <c r="E204" s="8">
        <v>1000.0</v>
      </c>
      <c r="F204" s="15">
        <v>236.0</v>
      </c>
      <c r="G204" s="13">
        <f>F204*204</f>
        <v>48144</v>
      </c>
      <c r="H204" s="18" t="s">
        <v>14</v>
      </c>
    </row>
    <row r="205" spans="1:8" outlineLevel="1">
      <c r="A205" s="18">
        <v>198</v>
      </c>
      <c r="B205" s="9" t="s">
        <v>587</v>
      </c>
      <c r="C205" s="10" t="s">
        <v>588</v>
      </c>
      <c r="D205" s="10" t="s">
        <v>589</v>
      </c>
      <c r="E205" s="8">
        <v>1000.0</v>
      </c>
      <c r="F205" s="15">
        <v>493.0</v>
      </c>
      <c r="G205" s="13">
        <f>F205*205</f>
        <v>101065</v>
      </c>
      <c r="H205" s="18" t="s">
        <v>14</v>
      </c>
    </row>
    <row r="206" spans="1:8" outlineLevel="1">
      <c r="A206" s="18">
        <v>199</v>
      </c>
      <c r="B206" s="9" t="s">
        <v>590</v>
      </c>
      <c r="C206" s="10" t="s">
        <v>591</v>
      </c>
      <c r="D206" s="10" t="s">
        <v>592</v>
      </c>
      <c r="E206" s="8">
        <v>1000.0</v>
      </c>
      <c r="F206" s="15">
        <v>493.0</v>
      </c>
      <c r="G206" s="13">
        <f>F206*206</f>
        <v>101558</v>
      </c>
      <c r="H206" s="18" t="s">
        <v>14</v>
      </c>
    </row>
    <row r="207" spans="1:8" outlineLevel="1">
      <c r="A207" s="18">
        <v>200</v>
      </c>
      <c r="B207" s="9" t="s">
        <v>593</v>
      </c>
      <c r="C207" s="10" t="s">
        <v>594</v>
      </c>
      <c r="D207" s="10" t="s">
        <v>595</v>
      </c>
      <c r="E207" s="8">
        <v>1000.0</v>
      </c>
      <c r="F207" s="15">
        <v>0.0</v>
      </c>
      <c r="G207" s="13">
        <f>F207*207</f>
        <v>0</v>
      </c>
      <c r="H207" s="18" t="s">
        <v>14</v>
      </c>
    </row>
    <row r="208" spans="1:8" outlineLevel="1">
      <c r="A208" s="18">
        <v>201</v>
      </c>
      <c r="B208" s="9" t="s">
        <v>596</v>
      </c>
      <c r="C208" s="10" t="s">
        <v>597</v>
      </c>
      <c r="D208" s="10" t="s">
        <v>598</v>
      </c>
      <c r="E208" s="8">
        <v>1000.0</v>
      </c>
      <c r="F208" s="15">
        <v>9622.0</v>
      </c>
      <c r="G208" s="13">
        <f>F208*208</f>
        <v>2001376</v>
      </c>
      <c r="H208" s="18" t="s">
        <v>14</v>
      </c>
    </row>
    <row r="209" spans="1:8" outlineLevel="1">
      <c r="A209" s="18">
        <v>202</v>
      </c>
      <c r="B209" s="9" t="s">
        <v>599</v>
      </c>
      <c r="C209" s="10" t="s">
        <v>600</v>
      </c>
      <c r="D209" s="10" t="s">
        <v>601</v>
      </c>
      <c r="E209" s="8" t="s">
        <v>23</v>
      </c>
      <c r="F209" s="15">
        <v>1664.0</v>
      </c>
      <c r="G209" s="13">
        <f>F209*209</f>
        <v>347776</v>
      </c>
      <c r="H209" s="18" t="s">
        <v>14</v>
      </c>
    </row>
    <row r="210" spans="1:8" outlineLevel="1">
      <c r="A210" s="18">
        <v>203</v>
      </c>
      <c r="B210" s="9" t="s">
        <v>602</v>
      </c>
      <c r="C210" s="10" t="s">
        <v>603</v>
      </c>
      <c r="D210" s="10" t="s">
        <v>604</v>
      </c>
      <c r="E210" s="8" t="s">
        <v>23</v>
      </c>
      <c r="F210" s="15">
        <v>286.0</v>
      </c>
      <c r="G210" s="13">
        <f>F210*210</f>
        <v>60060</v>
      </c>
      <c r="H210" s="18" t="s">
        <v>14</v>
      </c>
    </row>
    <row r="211" spans="1:8" outlineLevel="1">
      <c r="A211" s="18">
        <v>204</v>
      </c>
      <c r="B211" s="9" t="s">
        <v>605</v>
      </c>
      <c r="C211" s="10" t="s">
        <v>606</v>
      </c>
      <c r="D211" s="10" t="s">
        <v>607</v>
      </c>
      <c r="E211" s="8" t="s">
        <v>23</v>
      </c>
      <c r="F211" s="15">
        <v>879.0</v>
      </c>
      <c r="G211" s="13">
        <f>F211*211</f>
        <v>185469</v>
      </c>
      <c r="H211" s="18" t="s">
        <v>14</v>
      </c>
    </row>
    <row r="212" spans="1:8" outlineLevel="1">
      <c r="A212" s="18">
        <v>205</v>
      </c>
      <c r="B212" s="9" t="s">
        <v>608</v>
      </c>
      <c r="C212" s="10" t="s">
        <v>609</v>
      </c>
      <c r="D212" s="10" t="s">
        <v>610</v>
      </c>
      <c r="E212" s="8">
        <v>1000.0</v>
      </c>
      <c r="F212" s="15">
        <v>9277.0</v>
      </c>
      <c r="G212" s="13">
        <f>F212*212</f>
        <v>1966724</v>
      </c>
      <c r="H212" s="18" t="s">
        <v>14</v>
      </c>
    </row>
    <row r="213" spans="1:8" outlineLevel="1">
      <c r="A213" s="18">
        <v>206</v>
      </c>
      <c r="B213" s="9" t="s">
        <v>611</v>
      </c>
      <c r="C213" s="10" t="s">
        <v>612</v>
      </c>
      <c r="D213" s="10" t="s">
        <v>613</v>
      </c>
      <c r="E213" s="8" t="s">
        <v>23</v>
      </c>
      <c r="F213" s="15">
        <v>636.0</v>
      </c>
      <c r="G213" s="13">
        <f>F213*213</f>
        <v>135468</v>
      </c>
      <c r="H213" s="18" t="s">
        <v>14</v>
      </c>
    </row>
    <row r="214" spans="1:8" outlineLevel="1">
      <c r="A214" s="18">
        <v>207</v>
      </c>
      <c r="B214" s="9" t="s">
        <v>614</v>
      </c>
      <c r="C214" s="10" t="s">
        <v>615</v>
      </c>
      <c r="D214" s="10" t="s">
        <v>616</v>
      </c>
      <c r="E214" s="8">
        <v>1000.0</v>
      </c>
      <c r="F214" s="15">
        <v>270.0</v>
      </c>
      <c r="G214" s="13">
        <f>F214*214</f>
        <v>57780</v>
      </c>
      <c r="H214" s="18" t="s">
        <v>14</v>
      </c>
    </row>
    <row r="215" spans="1:8" outlineLevel="1">
      <c r="A215" s="18">
        <v>208</v>
      </c>
      <c r="B215" s="9" t="s">
        <v>617</v>
      </c>
      <c r="C215" s="10" t="s">
        <v>618</v>
      </c>
      <c r="D215" s="10" t="s">
        <v>619</v>
      </c>
      <c r="E215" s="8">
        <v>1000.0</v>
      </c>
      <c r="F215" s="15">
        <v>913.0</v>
      </c>
      <c r="G215" s="13">
        <f>F215*215</f>
        <v>196295</v>
      </c>
      <c r="H215" s="18" t="s">
        <v>14</v>
      </c>
    </row>
    <row r="216" spans="1:8" outlineLevel="1">
      <c r="A216" s="18">
        <v>209</v>
      </c>
      <c r="B216" s="9" t="s">
        <v>620</v>
      </c>
      <c r="C216" s="10" t="s">
        <v>621</v>
      </c>
      <c r="D216" s="10" t="s">
        <v>622</v>
      </c>
      <c r="E216" s="8" t="s">
        <v>23</v>
      </c>
      <c r="F216" s="15">
        <v>1918.0</v>
      </c>
      <c r="G216" s="13">
        <f>F216*216</f>
        <v>414288</v>
      </c>
      <c r="H216" s="18" t="s">
        <v>14</v>
      </c>
    </row>
    <row r="217" spans="1:8" outlineLevel="1">
      <c r="A217" s="18">
        <v>210</v>
      </c>
      <c r="B217" s="9" t="s">
        <v>623</v>
      </c>
      <c r="C217" s="10" t="s">
        <v>624</v>
      </c>
      <c r="D217" s="10" t="s">
        <v>625</v>
      </c>
      <c r="E217" s="8" t="s">
        <v>23</v>
      </c>
      <c r="F217" s="15">
        <v>1247.0</v>
      </c>
      <c r="G217" s="13">
        <f>F217*217</f>
        <v>270599</v>
      </c>
      <c r="H217" s="18" t="s">
        <v>14</v>
      </c>
    </row>
    <row r="218" spans="1:8" outlineLevel="1">
      <c r="A218" s="18">
        <v>211</v>
      </c>
      <c r="B218" s="9" t="s">
        <v>626</v>
      </c>
      <c r="C218" s="10" t="s">
        <v>627</v>
      </c>
      <c r="D218" s="10" t="s">
        <v>628</v>
      </c>
      <c r="E218" s="8" t="s">
        <v>23</v>
      </c>
      <c r="F218" s="15">
        <v>1328.0</v>
      </c>
      <c r="G218" s="13">
        <f>F218*218</f>
        <v>289504</v>
      </c>
      <c r="H218" s="18" t="s">
        <v>14</v>
      </c>
    </row>
    <row r="219" spans="1:8" outlineLevel="1">
      <c r="A219" s="18">
        <v>212</v>
      </c>
      <c r="B219" s="9" t="s">
        <v>629</v>
      </c>
      <c r="C219" s="10" t="s">
        <v>630</v>
      </c>
      <c r="D219" s="10" t="s">
        <v>631</v>
      </c>
      <c r="E219" s="8" t="s">
        <v>23</v>
      </c>
      <c r="F219" s="15">
        <v>1828.0</v>
      </c>
      <c r="G219" s="13">
        <f>F219*219</f>
        <v>400332</v>
      </c>
      <c r="H219" s="18" t="s">
        <v>14</v>
      </c>
    </row>
    <row r="220" spans="1:8" outlineLevel="1">
      <c r="A220" s="18">
        <v>213</v>
      </c>
      <c r="B220" s="9" t="s">
        <v>632</v>
      </c>
      <c r="C220" s="10" t="s">
        <v>633</v>
      </c>
      <c r="D220" s="10" t="s">
        <v>634</v>
      </c>
      <c r="E220" s="8" t="s">
        <v>23</v>
      </c>
      <c r="F220" s="15">
        <v>1992.0</v>
      </c>
      <c r="G220" s="13">
        <f>F220*220</f>
        <v>438240</v>
      </c>
      <c r="H220" s="18" t="s">
        <v>14</v>
      </c>
    </row>
    <row r="221" spans="1:8" outlineLevel="1">
      <c r="A221" s="18">
        <v>214</v>
      </c>
      <c r="B221" s="9" t="s">
        <v>635</v>
      </c>
      <c r="C221" s="10" t="s">
        <v>636</v>
      </c>
      <c r="D221" s="10" t="s">
        <v>637</v>
      </c>
      <c r="E221" s="8" t="s">
        <v>23</v>
      </c>
      <c r="F221" s="15">
        <v>1954.0</v>
      </c>
      <c r="G221" s="13">
        <f>F221*221</f>
        <v>431834</v>
      </c>
      <c r="H221" s="18" t="s">
        <v>14</v>
      </c>
    </row>
    <row r="222" spans="1:8" outlineLevel="1">
      <c r="A222" s="18">
        <v>215</v>
      </c>
      <c r="B222" s="9" t="s">
        <v>638</v>
      </c>
      <c r="C222" s="10" t="s">
        <v>639</v>
      </c>
      <c r="D222" s="10" t="s">
        <v>640</v>
      </c>
      <c r="E222" s="8" t="s">
        <v>23</v>
      </c>
      <c r="F222" s="15">
        <v>868.0</v>
      </c>
      <c r="G222" s="13">
        <f>F222*222</f>
        <v>192696</v>
      </c>
      <c r="H222" s="18" t="s">
        <v>14</v>
      </c>
    </row>
    <row r="223" spans="1:8" outlineLevel="1">
      <c r="A223" s="18">
        <v>216</v>
      </c>
      <c r="B223" s="9" t="s">
        <v>641</v>
      </c>
      <c r="C223" s="10" t="s">
        <v>642</v>
      </c>
      <c r="D223" s="10" t="s">
        <v>643</v>
      </c>
      <c r="E223" s="8" t="s">
        <v>23</v>
      </c>
      <c r="F223" s="15">
        <v>1010.0</v>
      </c>
      <c r="G223" s="13">
        <f>F223*223</f>
        <v>225230</v>
      </c>
      <c r="H223" s="18" t="s">
        <v>14</v>
      </c>
    </row>
    <row r="224" spans="1:8" outlineLevel="1">
      <c r="A224" s="18">
        <v>217</v>
      </c>
      <c r="B224" s="9" t="s">
        <v>644</v>
      </c>
      <c r="C224" s="10" t="s">
        <v>645</v>
      </c>
      <c r="D224" s="10" t="s">
        <v>646</v>
      </c>
      <c r="E224" s="8" t="s">
        <v>23</v>
      </c>
      <c r="F224" s="15">
        <v>2148.0</v>
      </c>
      <c r="G224" s="13">
        <f>F224*224</f>
        <v>481152</v>
      </c>
      <c r="H224" s="18" t="s">
        <v>14</v>
      </c>
    </row>
    <row r="225" spans="1:8" outlineLevel="1">
      <c r="A225" s="18">
        <v>218</v>
      </c>
      <c r="B225" s="9" t="s">
        <v>647</v>
      </c>
      <c r="C225" s="10" t="s">
        <v>648</v>
      </c>
      <c r="D225" s="10" t="s">
        <v>649</v>
      </c>
      <c r="E225" s="8" t="s">
        <v>23</v>
      </c>
      <c r="F225" s="15">
        <v>3168.0</v>
      </c>
      <c r="G225" s="13">
        <f>F225*225</f>
        <v>712800</v>
      </c>
      <c r="H225" s="18" t="s">
        <v>14</v>
      </c>
    </row>
    <row r="226" spans="1:8" outlineLevel="1">
      <c r="A226" s="18">
        <v>219</v>
      </c>
      <c r="B226" s="9" t="s">
        <v>650</v>
      </c>
      <c r="C226" s="10" t="s">
        <v>651</v>
      </c>
      <c r="D226" s="10" t="s">
        <v>652</v>
      </c>
      <c r="E226" s="8">
        <v>1000.0</v>
      </c>
      <c r="F226" s="15">
        <v>3976.0</v>
      </c>
      <c r="G226" s="13">
        <f>F226*226</f>
        <v>898576</v>
      </c>
      <c r="H226" s="18" t="s">
        <v>14</v>
      </c>
    </row>
    <row r="227" spans="1:8" outlineLevel="1">
      <c r="A227" s="18">
        <v>220</v>
      </c>
      <c r="B227" s="9" t="s">
        <v>653</v>
      </c>
      <c r="C227" s="10" t="s">
        <v>654</v>
      </c>
      <c r="D227" s="10" t="s">
        <v>655</v>
      </c>
      <c r="E227" s="8" t="s">
        <v>23</v>
      </c>
      <c r="F227" s="15">
        <v>1948.0</v>
      </c>
      <c r="G227" s="13">
        <f>F227*227</f>
        <v>442196</v>
      </c>
      <c r="H227" s="18" t="s">
        <v>14</v>
      </c>
    </row>
    <row r="228" spans="1:8" outlineLevel="1">
      <c r="A228" s="18">
        <v>221</v>
      </c>
      <c r="B228" s="9" t="s">
        <v>656</v>
      </c>
      <c r="C228" s="10" t="s">
        <v>657</v>
      </c>
      <c r="D228" s="10" t="s">
        <v>658</v>
      </c>
      <c r="E228" s="8" t="s">
        <v>23</v>
      </c>
      <c r="F228" s="15">
        <v>1576.0</v>
      </c>
      <c r="G228" s="13">
        <f>F228*228</f>
        <v>359328</v>
      </c>
      <c r="H228" s="18" t="s">
        <v>14</v>
      </c>
    </row>
    <row r="229" spans="1:8" outlineLevel="1">
      <c r="A229" s="18">
        <v>222</v>
      </c>
      <c r="B229" s="9" t="s">
        <v>659</v>
      </c>
      <c r="C229" s="10" t="s">
        <v>657</v>
      </c>
      <c r="D229" s="10" t="s">
        <v>660</v>
      </c>
      <c r="E229" s="8" t="s">
        <v>23</v>
      </c>
      <c r="F229" s="15">
        <v>1656.0</v>
      </c>
      <c r="G229" s="13">
        <f>F229*229</f>
        <v>379224</v>
      </c>
      <c r="H229" s="18" t="s">
        <v>14</v>
      </c>
    </row>
    <row r="230" spans="1:8" outlineLevel="1">
      <c r="A230" s="18">
        <v>223</v>
      </c>
      <c r="B230" s="9" t="s">
        <v>661</v>
      </c>
      <c r="C230" s="10" t="s">
        <v>662</v>
      </c>
      <c r="D230" s="10" t="s">
        <v>663</v>
      </c>
      <c r="E230" s="8" t="s">
        <v>23</v>
      </c>
      <c r="F230" s="15">
        <v>3271.0</v>
      </c>
      <c r="G230" s="13">
        <f>F230*230</f>
        <v>752330</v>
      </c>
      <c r="H230" s="18" t="s">
        <v>14</v>
      </c>
    </row>
    <row r="231" spans="1:8" outlineLevel="1">
      <c r="A231" s="18">
        <v>224</v>
      </c>
      <c r="B231" s="9" t="s">
        <v>664</v>
      </c>
      <c r="C231" s="10" t="s">
        <v>665</v>
      </c>
      <c r="D231" s="10" t="s">
        <v>666</v>
      </c>
      <c r="E231" s="8" t="s">
        <v>23</v>
      </c>
      <c r="F231" s="15">
        <v>1031.0</v>
      </c>
      <c r="G231" s="13">
        <f>F231*231</f>
        <v>238161</v>
      </c>
      <c r="H231" s="18" t="s">
        <v>14</v>
      </c>
    </row>
    <row r="232" spans="1:8" outlineLevel="1">
      <c r="A232" s="18">
        <v>225</v>
      </c>
      <c r="B232" s="9" t="s">
        <v>667</v>
      </c>
      <c r="C232" s="10" t="s">
        <v>668</v>
      </c>
      <c r="D232" s="10" t="s">
        <v>669</v>
      </c>
      <c r="E232" s="8">
        <v>1000.0</v>
      </c>
      <c r="F232" s="15">
        <v>891.0</v>
      </c>
      <c r="G232" s="13">
        <f>F232*232</f>
        <v>206712</v>
      </c>
      <c r="H232" s="18" t="s">
        <v>14</v>
      </c>
    </row>
    <row r="233" spans="1:8" outlineLevel="1">
      <c r="A233" s="18">
        <v>226</v>
      </c>
      <c r="B233" s="9" t="s">
        <v>670</v>
      </c>
      <c r="C233" s="10" t="s">
        <v>671</v>
      </c>
      <c r="D233" s="10" t="s">
        <v>672</v>
      </c>
      <c r="E233" s="8" t="s">
        <v>23</v>
      </c>
      <c r="F233" s="15">
        <v>2261.0</v>
      </c>
      <c r="G233" s="13">
        <f>F233*233</f>
        <v>526813</v>
      </c>
      <c r="H233" s="18" t="s">
        <v>14</v>
      </c>
    </row>
    <row r="234" spans="1:8" outlineLevel="1">
      <c r="A234" s="18">
        <v>227</v>
      </c>
      <c r="B234" s="9" t="s">
        <v>673</v>
      </c>
      <c r="C234" s="10" t="s">
        <v>674</v>
      </c>
      <c r="D234" s="10" t="s">
        <v>675</v>
      </c>
      <c r="E234" s="8">
        <v>1000.0</v>
      </c>
      <c r="F234" s="15">
        <v>1340.0</v>
      </c>
      <c r="G234" s="13">
        <f>F234*234</f>
        <v>313560</v>
      </c>
      <c r="H234" s="18" t="s">
        <v>14</v>
      </c>
    </row>
    <row r="235" spans="1:8" outlineLevel="1">
      <c r="A235" s="18">
        <v>228</v>
      </c>
      <c r="B235" s="9" t="s">
        <v>676</v>
      </c>
      <c r="C235" s="10" t="s">
        <v>677</v>
      </c>
      <c r="D235" s="10" t="s">
        <v>678</v>
      </c>
      <c r="E235" s="8">
        <v>1000.0</v>
      </c>
      <c r="F235" s="15">
        <v>920.0</v>
      </c>
      <c r="G235" s="13">
        <f>F235*235</f>
        <v>216200</v>
      </c>
      <c r="H235" s="18" t="s">
        <v>14</v>
      </c>
    </row>
    <row r="236" spans="1:8" outlineLevel="1">
      <c r="A236" s="18">
        <v>229</v>
      </c>
      <c r="B236" s="9" t="s">
        <v>679</v>
      </c>
      <c r="C236" s="10" t="s">
        <v>680</v>
      </c>
      <c r="D236" s="10" t="s">
        <v>681</v>
      </c>
      <c r="E236" s="8">
        <v>1000.0</v>
      </c>
      <c r="F236" s="15">
        <v>7441.0</v>
      </c>
      <c r="G236" s="13">
        <f>F236*236</f>
        <v>1756076</v>
      </c>
      <c r="H236" s="18" t="s">
        <v>14</v>
      </c>
    </row>
    <row r="237" spans="1:8" outlineLevel="1">
      <c r="A237" s="18">
        <v>230</v>
      </c>
      <c r="B237" s="9" t="s">
        <v>682</v>
      </c>
      <c r="C237" s="10" t="s">
        <v>683</v>
      </c>
      <c r="D237" s="10" t="s">
        <v>684</v>
      </c>
      <c r="E237" s="8">
        <v>1000.0</v>
      </c>
      <c r="F237" s="15">
        <v>4290.0</v>
      </c>
      <c r="G237" s="13">
        <f>F237*237</f>
        <v>1016730</v>
      </c>
      <c r="H237" s="18" t="s">
        <v>14</v>
      </c>
    </row>
    <row r="238" spans="1:8" outlineLevel="1">
      <c r="A238" s="18">
        <v>231</v>
      </c>
      <c r="B238" s="9" t="s">
        <v>685</v>
      </c>
      <c r="C238" s="10" t="s">
        <v>686</v>
      </c>
      <c r="D238" s="10" t="s">
        <v>687</v>
      </c>
      <c r="E238" s="8">
        <v>1000.0</v>
      </c>
      <c r="F238" s="15">
        <v>4870.0</v>
      </c>
      <c r="G238" s="13">
        <f>F238*238</f>
        <v>1159060</v>
      </c>
      <c r="H238" s="18" t="s">
        <v>14</v>
      </c>
    </row>
    <row r="239" spans="1:8" outlineLevel="1">
      <c r="A239" s="18">
        <v>232</v>
      </c>
      <c r="B239" s="9" t="s">
        <v>688</v>
      </c>
      <c r="C239" s="10" t="s">
        <v>689</v>
      </c>
      <c r="D239" s="10" t="s">
        <v>690</v>
      </c>
      <c r="E239" s="8">
        <v>1000.0</v>
      </c>
      <c r="F239" s="15">
        <v>2191.0</v>
      </c>
      <c r="G239" s="13">
        <f>F239*239</f>
        <v>523649</v>
      </c>
      <c r="H239" s="18" t="s">
        <v>14</v>
      </c>
    </row>
    <row r="240" spans="1:8" outlineLevel="1">
      <c r="A240" s="18">
        <v>233</v>
      </c>
      <c r="B240" s="9" t="s">
        <v>691</v>
      </c>
      <c r="C240" s="10" t="s">
        <v>692</v>
      </c>
      <c r="D240" s="10" t="s">
        <v>693</v>
      </c>
      <c r="E240" s="8" t="s">
        <v>23</v>
      </c>
      <c r="F240" s="15">
        <v>586.0</v>
      </c>
      <c r="G240" s="13">
        <f>F240*240</f>
        <v>140640</v>
      </c>
      <c r="H240" s="18" t="s">
        <v>14</v>
      </c>
    </row>
    <row r="241" spans="1:8" outlineLevel="1">
      <c r="A241" s="18">
        <v>234</v>
      </c>
      <c r="B241" s="9" t="s">
        <v>694</v>
      </c>
      <c r="C241" s="10" t="s">
        <v>695</v>
      </c>
      <c r="D241" s="10" t="s">
        <v>696</v>
      </c>
      <c r="E241" s="8" t="s">
        <v>23</v>
      </c>
      <c r="F241" s="15">
        <v>1332.0</v>
      </c>
      <c r="G241" s="13">
        <f>F241*241</f>
        <v>321012</v>
      </c>
      <c r="H241" s="18" t="s">
        <v>14</v>
      </c>
    </row>
    <row r="242" spans="1:8" outlineLevel="1">
      <c r="A242" s="18">
        <v>235</v>
      </c>
      <c r="B242" s="9" t="s">
        <v>697</v>
      </c>
      <c r="C242" s="10" t="s">
        <v>698</v>
      </c>
      <c r="D242" s="10" t="s">
        <v>699</v>
      </c>
      <c r="E242" s="8">
        <v>1000.0</v>
      </c>
      <c r="F242" s="15">
        <v>30076.0</v>
      </c>
      <c r="G242" s="13">
        <f>F242*242</f>
        <v>7278392</v>
      </c>
      <c r="H242" s="18" t="s">
        <v>14</v>
      </c>
    </row>
    <row r="243" spans="1:8" outlineLevel="1">
      <c r="A243" s="18">
        <v>236</v>
      </c>
      <c r="B243" s="9" t="s">
        <v>700</v>
      </c>
      <c r="C243" s="10" t="s">
        <v>701</v>
      </c>
      <c r="D243" s="10" t="s">
        <v>702</v>
      </c>
      <c r="E243" s="8">
        <v>1000.0</v>
      </c>
      <c r="F243" s="15">
        <v>7424.0</v>
      </c>
      <c r="G243" s="13">
        <f>F243*243</f>
        <v>1804032</v>
      </c>
      <c r="H243" s="18" t="s">
        <v>14</v>
      </c>
    </row>
    <row r="244" spans="1:8" outlineLevel="1">
      <c r="A244" s="18">
        <v>237</v>
      </c>
      <c r="B244" s="9" t="s">
        <v>703</v>
      </c>
      <c r="C244" s="10" t="s">
        <v>704</v>
      </c>
      <c r="D244" s="10" t="s">
        <v>705</v>
      </c>
      <c r="E244" s="8">
        <v>1000.0</v>
      </c>
      <c r="F244" s="15">
        <v>5747.0</v>
      </c>
      <c r="G244" s="13">
        <f>F244*244</f>
        <v>1402268</v>
      </c>
      <c r="H244" s="18" t="s">
        <v>14</v>
      </c>
    </row>
    <row r="245" spans="1:8" outlineLevel="1">
      <c r="A245" s="18">
        <v>238</v>
      </c>
      <c r="B245" s="9" t="s">
        <v>706</v>
      </c>
      <c r="C245" s="10" t="s">
        <v>707</v>
      </c>
      <c r="D245" s="10" t="s">
        <v>708</v>
      </c>
      <c r="E245" s="8" t="s">
        <v>23</v>
      </c>
      <c r="F245" s="15">
        <v>6336.0</v>
      </c>
      <c r="G245" s="13">
        <f>F245*245</f>
        <v>1552320</v>
      </c>
      <c r="H245" s="18" t="s">
        <v>14</v>
      </c>
    </row>
    <row r="246" spans="1:8" outlineLevel="1">
      <c r="A246" s="18">
        <v>239</v>
      </c>
      <c r="B246" s="9" t="s">
        <v>709</v>
      </c>
      <c r="C246" s="10" t="s">
        <v>710</v>
      </c>
      <c r="D246" s="10" t="s">
        <v>711</v>
      </c>
      <c r="E246" s="8" t="s">
        <v>23</v>
      </c>
      <c r="F246" s="15">
        <v>0.0</v>
      </c>
      <c r="G246" s="13">
        <f>F246*246</f>
        <v>0</v>
      </c>
      <c r="H246" s="18" t="s">
        <v>14</v>
      </c>
    </row>
    <row r="247" spans="1:8" outlineLevel="1">
      <c r="A247" s="18">
        <v>240</v>
      </c>
      <c r="B247" s="9" t="s">
        <v>712</v>
      </c>
      <c r="C247" s="10" t="s">
        <v>713</v>
      </c>
      <c r="D247" s="10" t="s">
        <v>714</v>
      </c>
      <c r="E247" s="8" t="s">
        <v>23</v>
      </c>
      <c r="F247" s="15">
        <v>2016.0</v>
      </c>
      <c r="G247" s="13">
        <f>F247*247</f>
        <v>497952</v>
      </c>
      <c r="H247" s="18" t="s">
        <v>14</v>
      </c>
    </row>
    <row r="248" spans="1:8" outlineLevel="1">
      <c r="A248" s="18">
        <v>241</v>
      </c>
      <c r="B248" s="9" t="s">
        <v>715</v>
      </c>
      <c r="C248" s="10" t="s">
        <v>716</v>
      </c>
      <c r="D248" s="10" t="s">
        <v>717</v>
      </c>
      <c r="E248" s="8" t="s">
        <v>23</v>
      </c>
      <c r="F248" s="15">
        <v>51360.0</v>
      </c>
      <c r="G248" s="13">
        <f>F248*248</f>
        <v>12737280</v>
      </c>
      <c r="H248" s="18" t="s">
        <v>14</v>
      </c>
    </row>
    <row r="249" spans="1:8" outlineLevel="1">
      <c r="A249" s="18">
        <v>242</v>
      </c>
      <c r="B249" s="9" t="s">
        <v>718</v>
      </c>
      <c r="C249" s="10" t="s">
        <v>719</v>
      </c>
      <c r="D249" s="10" t="s">
        <v>720</v>
      </c>
      <c r="E249" s="8" t="s">
        <v>23</v>
      </c>
      <c r="F249" s="15">
        <v>44942.0</v>
      </c>
      <c r="G249" s="13">
        <f>F249*249</f>
        <v>11190558</v>
      </c>
      <c r="H249" s="18" t="s">
        <v>14</v>
      </c>
    </row>
    <row r="250" spans="1:8" outlineLevel="1">
      <c r="A250" s="18">
        <v>243</v>
      </c>
      <c r="B250" s="9" t="s">
        <v>721</v>
      </c>
      <c r="C250" s="10" t="s">
        <v>722</v>
      </c>
      <c r="D250" s="10" t="s">
        <v>723</v>
      </c>
      <c r="E250" s="8" t="s">
        <v>23</v>
      </c>
      <c r="F250" s="15">
        <v>107196.0</v>
      </c>
      <c r="G250" s="13">
        <f>F250*250</f>
        <v>26799000</v>
      </c>
      <c r="H250" s="18" t="s">
        <v>14</v>
      </c>
    </row>
    <row r="251" spans="1:8" outlineLevel="1">
      <c r="A251" s="18">
        <v>244</v>
      </c>
      <c r="B251" s="9" t="s">
        <v>724</v>
      </c>
      <c r="C251" s="10" t="s">
        <v>725</v>
      </c>
      <c r="D251" s="10" t="s">
        <v>726</v>
      </c>
      <c r="E251" s="8" t="s">
        <v>23</v>
      </c>
      <c r="F251" s="15">
        <v>47693.0</v>
      </c>
      <c r="G251" s="13">
        <f>F251*251</f>
        <v>11970943</v>
      </c>
      <c r="H251" s="18" t="s">
        <v>14</v>
      </c>
    </row>
    <row r="252" spans="1:8" outlineLevel="1">
      <c r="A252" s="18">
        <v>245</v>
      </c>
      <c r="B252" s="9" t="s">
        <v>727</v>
      </c>
      <c r="C252" s="10" t="s">
        <v>728</v>
      </c>
      <c r="D252" s="10" t="s">
        <v>729</v>
      </c>
      <c r="E252" s="8" t="s">
        <v>23</v>
      </c>
      <c r="F252" s="15">
        <v>47520.0</v>
      </c>
      <c r="G252" s="13">
        <f>F252*252</f>
        <v>11975040</v>
      </c>
      <c r="H252" s="18" t="s">
        <v>14</v>
      </c>
    </row>
    <row r="253" spans="1:8" outlineLevel="1">
      <c r="A253" s="18">
        <v>246</v>
      </c>
      <c r="B253" s="9" t="s">
        <v>730</v>
      </c>
      <c r="C253" s="10" t="s">
        <v>731</v>
      </c>
      <c r="D253" s="10" t="s">
        <v>732</v>
      </c>
      <c r="E253" s="8" t="s">
        <v>23</v>
      </c>
      <c r="F253" s="15">
        <v>61440.0</v>
      </c>
      <c r="G253" s="13">
        <f>F253*253</f>
        <v>15544320</v>
      </c>
      <c r="H253" s="18" t="s">
        <v>14</v>
      </c>
    </row>
    <row r="254" spans="1:8" outlineLevel="1">
      <c r="A254" s="18">
        <v>247</v>
      </c>
      <c r="B254" s="9" t="s">
        <v>733</v>
      </c>
      <c r="C254" s="10" t="s">
        <v>734</v>
      </c>
      <c r="D254" s="10" t="s">
        <v>735</v>
      </c>
      <c r="E254" s="8" t="s">
        <v>23</v>
      </c>
      <c r="F254" s="15">
        <v>121728.0</v>
      </c>
      <c r="G254" s="13">
        <f>F254*254</f>
        <v>30918912</v>
      </c>
      <c r="H254" s="18" t="s">
        <v>14</v>
      </c>
    </row>
    <row r="255" spans="1:8" outlineLevel="1">
      <c r="A255" s="18">
        <v>248</v>
      </c>
      <c r="B255" s="9" t="s">
        <v>736</v>
      </c>
      <c r="C255" s="10" t="s">
        <v>737</v>
      </c>
      <c r="D255" s="10" t="s">
        <v>738</v>
      </c>
      <c r="E255" s="8" t="s">
        <v>23</v>
      </c>
      <c r="F255" s="15">
        <v>35029.0</v>
      </c>
      <c r="G255" s="13">
        <f>F255*255</f>
        <v>8932395</v>
      </c>
      <c r="H255" s="18" t="s">
        <v>14</v>
      </c>
    </row>
    <row r="256" spans="1:8" outlineLevel="1">
      <c r="A256" s="18">
        <v>249</v>
      </c>
      <c r="B256" s="9" t="s">
        <v>739</v>
      </c>
      <c r="C256" s="10" t="s">
        <v>740</v>
      </c>
      <c r="D256" s="10" t="s">
        <v>741</v>
      </c>
      <c r="E256" s="8" t="s">
        <v>23</v>
      </c>
      <c r="F256" s="15">
        <v>27880.0</v>
      </c>
      <c r="G256" s="13">
        <f>F256*256</f>
        <v>7137280</v>
      </c>
      <c r="H256" s="18" t="s">
        <v>14</v>
      </c>
    </row>
    <row r="257" spans="1:8" outlineLevel="1">
      <c r="A257" s="18">
        <v>250</v>
      </c>
      <c r="B257" s="9" t="s">
        <v>742</v>
      </c>
      <c r="C257" s="10" t="s">
        <v>743</v>
      </c>
      <c r="D257" s="10" t="s">
        <v>744</v>
      </c>
      <c r="E257" s="8" t="s">
        <v>23</v>
      </c>
      <c r="F257" s="15">
        <v>36380.0</v>
      </c>
      <c r="G257" s="13">
        <f>F257*257</f>
        <v>9349660</v>
      </c>
      <c r="H257" s="18" t="s">
        <v>14</v>
      </c>
    </row>
    <row r="258" spans="1:8" outlineLevel="1">
      <c r="A258" s="18">
        <v>251</v>
      </c>
      <c r="B258" s="9" t="s">
        <v>745</v>
      </c>
      <c r="C258" s="10" t="s">
        <v>746</v>
      </c>
      <c r="D258" s="10" t="s">
        <v>747</v>
      </c>
      <c r="E258" s="8" t="s">
        <v>23</v>
      </c>
      <c r="F258" s="15">
        <v>28220.0</v>
      </c>
      <c r="G258" s="13">
        <f>F258*258</f>
        <v>7280760</v>
      </c>
      <c r="H258" s="18" t="s">
        <v>14</v>
      </c>
    </row>
    <row r="259" spans="1:8" outlineLevel="1">
      <c r="A259" s="18">
        <v>252</v>
      </c>
      <c r="B259" s="9" t="s">
        <v>748</v>
      </c>
      <c r="C259" s="10" t="s">
        <v>749</v>
      </c>
      <c r="D259" s="10" t="s">
        <v>750</v>
      </c>
      <c r="E259" s="8" t="s">
        <v>23</v>
      </c>
      <c r="F259" s="15">
        <v>37485.0</v>
      </c>
      <c r="G259" s="13">
        <f>F259*259</f>
        <v>9708615</v>
      </c>
      <c r="H259" s="18" t="s">
        <v>14</v>
      </c>
    </row>
    <row r="260" spans="1:8" outlineLevel="1">
      <c r="A260" s="18">
        <v>253</v>
      </c>
      <c r="B260" s="9" t="s">
        <v>751</v>
      </c>
      <c r="C260" s="10" t="s">
        <v>752</v>
      </c>
      <c r="D260" s="10" t="s">
        <v>753</v>
      </c>
      <c r="E260" s="8" t="s">
        <v>23</v>
      </c>
      <c r="F260" s="15">
        <v>29410.0</v>
      </c>
      <c r="G260" s="13">
        <f>F260*260</f>
        <v>7646600</v>
      </c>
      <c r="H260" s="18" t="s">
        <v>14</v>
      </c>
    </row>
    <row r="261" spans="1:8" outlineLevel="1">
      <c r="A261" s="18">
        <v>254</v>
      </c>
      <c r="B261" s="9" t="s">
        <v>754</v>
      </c>
      <c r="C261" s="10" t="s">
        <v>755</v>
      </c>
      <c r="D261" s="10" t="s">
        <v>756</v>
      </c>
      <c r="E261" s="8" t="s">
        <v>23</v>
      </c>
      <c r="F261" s="15">
        <v>68510.0</v>
      </c>
      <c r="G261" s="13">
        <f>F261*261</f>
        <v>17881110</v>
      </c>
      <c r="H261" s="18" t="s">
        <v>14</v>
      </c>
    </row>
    <row r="262" spans="1:8" outlineLevel="1">
      <c r="A262" s="18">
        <v>255</v>
      </c>
      <c r="B262" s="9" t="s">
        <v>757</v>
      </c>
      <c r="C262" s="10" t="s">
        <v>758</v>
      </c>
      <c r="D262" s="10" t="s">
        <v>759</v>
      </c>
      <c r="E262" s="8" t="s">
        <v>23</v>
      </c>
      <c r="F262" s="15">
        <v>69394.0</v>
      </c>
      <c r="G262" s="13">
        <f>F262*262</f>
        <v>18181228</v>
      </c>
      <c r="H262" s="18" t="s">
        <v>14</v>
      </c>
    </row>
    <row r="263" spans="1:8" outlineLevel="1">
      <c r="A263" s="18">
        <v>256</v>
      </c>
      <c r="B263" s="9" t="s">
        <v>760</v>
      </c>
      <c r="C263" s="10" t="s">
        <v>761</v>
      </c>
      <c r="D263" s="10" t="s">
        <v>762</v>
      </c>
      <c r="E263" s="8" t="s">
        <v>23</v>
      </c>
      <c r="F263" s="15">
        <v>11985.0</v>
      </c>
      <c r="G263" s="13">
        <f>F263*263</f>
        <v>3152055</v>
      </c>
      <c r="H263" s="18" t="s">
        <v>14</v>
      </c>
    </row>
    <row r="264" spans="1:8" outlineLevel="1">
      <c r="A264" s="18">
        <v>257</v>
      </c>
      <c r="B264" s="9" t="s">
        <v>763</v>
      </c>
      <c r="C264" s="10" t="s">
        <v>764</v>
      </c>
      <c r="D264" s="10" t="s">
        <v>765</v>
      </c>
      <c r="E264" s="8" t="s">
        <v>23</v>
      </c>
      <c r="F264" s="15">
        <v>47520.0</v>
      </c>
      <c r="G264" s="13">
        <f>F264*264</f>
        <v>12545280</v>
      </c>
      <c r="H264" s="18" t="s">
        <v>14</v>
      </c>
    </row>
    <row r="265" spans="1:8" outlineLevel="1">
      <c r="A265" s="18">
        <v>258</v>
      </c>
      <c r="B265" s="9" t="s">
        <v>766</v>
      </c>
      <c r="C265" s="10" t="s">
        <v>767</v>
      </c>
      <c r="D265" s="10" t="s">
        <v>768</v>
      </c>
      <c r="E265" s="8" t="s">
        <v>23</v>
      </c>
      <c r="F265" s="15">
        <v>53184.0</v>
      </c>
      <c r="G265" s="13">
        <f>F265*265</f>
        <v>14093760</v>
      </c>
      <c r="H265" s="18" t="s">
        <v>14</v>
      </c>
    </row>
    <row r="266" spans="1:8" outlineLevel="1">
      <c r="A266" s="18">
        <v>259</v>
      </c>
      <c r="B266" s="9" t="s">
        <v>769</v>
      </c>
      <c r="C266" s="10" t="s">
        <v>770</v>
      </c>
      <c r="D266" s="10" t="s">
        <v>771</v>
      </c>
      <c r="E266" s="8" t="s">
        <v>23</v>
      </c>
      <c r="F266" s="15">
        <v>45408.0</v>
      </c>
      <c r="G266" s="13">
        <f>F266*266</f>
        <v>12078528</v>
      </c>
      <c r="H266" s="18" t="s">
        <v>14</v>
      </c>
    </row>
    <row r="267" spans="1:8" outlineLevel="1">
      <c r="A267" s="18">
        <v>260</v>
      </c>
      <c r="B267" s="9" t="s">
        <v>772</v>
      </c>
      <c r="C267" s="10" t="s">
        <v>773</v>
      </c>
      <c r="D267" s="10" t="s">
        <v>774</v>
      </c>
      <c r="E267" s="8" t="s">
        <v>23</v>
      </c>
      <c r="F267" s="15">
        <v>53760.0</v>
      </c>
      <c r="G267" s="13">
        <f>F267*267</f>
        <v>14353920</v>
      </c>
      <c r="H267" s="18" t="s">
        <v>14</v>
      </c>
    </row>
    <row r="268" spans="1:8" outlineLevel="1">
      <c r="A268" s="18">
        <v>261</v>
      </c>
      <c r="B268" s="9" t="s">
        <v>775</v>
      </c>
      <c r="C268" s="10" t="s">
        <v>776</v>
      </c>
      <c r="D268" s="10" t="s">
        <v>777</v>
      </c>
      <c r="E268" s="8" t="s">
        <v>23</v>
      </c>
      <c r="F268" s="15">
        <v>63936.0</v>
      </c>
      <c r="G268" s="13">
        <f>F268*268</f>
        <v>17134848</v>
      </c>
      <c r="H268" s="18" t="s">
        <v>14</v>
      </c>
    </row>
    <row r="269" spans="1:8" outlineLevel="1">
      <c r="A269" s="18">
        <v>262</v>
      </c>
      <c r="B269" s="9" t="s">
        <v>778</v>
      </c>
      <c r="C269" s="10" t="s">
        <v>779</v>
      </c>
      <c r="D269" s="10" t="s">
        <v>780</v>
      </c>
      <c r="E269" s="8" t="s">
        <v>23</v>
      </c>
      <c r="F269" s="15">
        <v>147840.0</v>
      </c>
      <c r="G269" s="13">
        <f>F269*269</f>
        <v>39768960</v>
      </c>
      <c r="H269" s="18" t="s">
        <v>14</v>
      </c>
    </row>
    <row r="270" spans="1:8" outlineLevel="1">
      <c r="A270" s="18">
        <v>263</v>
      </c>
      <c r="B270" s="9" t="s">
        <v>781</v>
      </c>
      <c r="C270" s="10" t="s">
        <v>782</v>
      </c>
      <c r="D270" s="10" t="s">
        <v>783</v>
      </c>
      <c r="E270" s="8" t="s">
        <v>23</v>
      </c>
      <c r="F270" s="15">
        <v>44928.0</v>
      </c>
      <c r="G270" s="13">
        <f>F270*270</f>
        <v>12130560</v>
      </c>
      <c r="H270" s="18" t="s">
        <v>14</v>
      </c>
    </row>
    <row r="271" spans="1:8" outlineLevel="1">
      <c r="A271" s="18">
        <v>264</v>
      </c>
      <c r="B271" s="9" t="s">
        <v>784</v>
      </c>
      <c r="C271" s="10" t="s">
        <v>785</v>
      </c>
      <c r="D271" s="10" t="s">
        <v>786</v>
      </c>
      <c r="E271" s="8" t="s">
        <v>23</v>
      </c>
      <c r="F271" s="15">
        <v>100320.0</v>
      </c>
      <c r="G271" s="13">
        <f>F271*271</f>
        <v>27186720</v>
      </c>
      <c r="H271" s="18" t="s">
        <v>14</v>
      </c>
    </row>
    <row r="272" spans="1:8" outlineLevel="1">
      <c r="A272" s="18">
        <v>265</v>
      </c>
      <c r="B272" s="9" t="s">
        <v>787</v>
      </c>
      <c r="C272" s="10" t="s">
        <v>788</v>
      </c>
      <c r="D272" s="10" t="s">
        <v>789</v>
      </c>
      <c r="E272" s="8" t="s">
        <v>23</v>
      </c>
      <c r="F272" s="15">
        <v>922.0</v>
      </c>
      <c r="G272" s="13">
        <f>F272*272</f>
        <v>250784</v>
      </c>
      <c r="H272" s="18" t="s">
        <v>14</v>
      </c>
    </row>
    <row r="273" spans="1:8" outlineLevel="1">
      <c r="A273" s="18">
        <v>266</v>
      </c>
      <c r="B273" s="9" t="s">
        <v>790</v>
      </c>
      <c r="C273" s="10" t="s">
        <v>791</v>
      </c>
      <c r="D273" s="10" t="s">
        <v>792</v>
      </c>
      <c r="E273" s="8" t="s">
        <v>23</v>
      </c>
      <c r="F273" s="15">
        <v>1171.0</v>
      </c>
      <c r="G273" s="13">
        <f>F273*273</f>
        <v>319683</v>
      </c>
      <c r="H273" s="18" t="s">
        <v>14</v>
      </c>
    </row>
    <row r="274" spans="1:8" outlineLevel="1">
      <c r="A274" s="18">
        <v>267</v>
      </c>
      <c r="B274" s="9" t="s">
        <v>793</v>
      </c>
      <c r="C274" s="10" t="s">
        <v>794</v>
      </c>
      <c r="D274" s="10" t="s">
        <v>795</v>
      </c>
      <c r="E274" s="8" t="s">
        <v>23</v>
      </c>
      <c r="F274" s="15">
        <v>944.0</v>
      </c>
      <c r="G274" s="13">
        <f>F274*274</f>
        <v>258656</v>
      </c>
      <c r="H274" s="18" t="s">
        <v>14</v>
      </c>
    </row>
    <row r="275" spans="1:8" outlineLevel="1">
      <c r="A275" s="18">
        <v>268</v>
      </c>
      <c r="B275" s="9" t="s">
        <v>796</v>
      </c>
      <c r="C275" s="10" t="s">
        <v>797</v>
      </c>
      <c r="D275" s="10" t="s">
        <v>798</v>
      </c>
      <c r="E275" s="8" t="s">
        <v>23</v>
      </c>
      <c r="F275" s="15">
        <v>277.0</v>
      </c>
      <c r="G275" s="13">
        <f>F275*275</f>
        <v>76175</v>
      </c>
      <c r="H275" s="18" t="s">
        <v>14</v>
      </c>
    </row>
    <row r="276" spans="1:8" outlineLevel="1">
      <c r="A276" s="18">
        <v>269</v>
      </c>
      <c r="B276" s="9" t="s">
        <v>799</v>
      </c>
      <c r="C276" s="10" t="s">
        <v>800</v>
      </c>
      <c r="D276" s="10" t="s">
        <v>801</v>
      </c>
      <c r="E276" s="8" t="s">
        <v>23</v>
      </c>
      <c r="F276" s="15">
        <v>884.0</v>
      </c>
      <c r="G276" s="13">
        <f>F276*276</f>
        <v>243984</v>
      </c>
      <c r="H276" s="18" t="s">
        <v>14</v>
      </c>
    </row>
    <row r="277" spans="1:8" outlineLevel="1">
      <c r="A277" s="18">
        <v>270</v>
      </c>
      <c r="B277" s="9" t="s">
        <v>802</v>
      </c>
      <c r="C277" s="10" t="s">
        <v>803</v>
      </c>
      <c r="D277" s="10" t="s">
        <v>804</v>
      </c>
      <c r="E277" s="8" t="s">
        <v>23</v>
      </c>
      <c r="F277" s="15">
        <v>845.0</v>
      </c>
      <c r="G277" s="13">
        <f>F277*277</f>
        <v>234065</v>
      </c>
      <c r="H277" s="18" t="s">
        <v>14</v>
      </c>
    </row>
    <row r="278" spans="1:8" outlineLevel="1">
      <c r="A278" s="18">
        <v>271</v>
      </c>
      <c r="B278" s="9" t="s">
        <v>805</v>
      </c>
      <c r="C278" s="10" t="s">
        <v>806</v>
      </c>
      <c r="D278" s="10" t="s">
        <v>807</v>
      </c>
      <c r="E278" s="8" t="s">
        <v>23</v>
      </c>
      <c r="F278" s="15">
        <v>1136.0</v>
      </c>
      <c r="G278" s="13">
        <f>F278*278</f>
        <v>315808</v>
      </c>
      <c r="H278" s="18" t="s">
        <v>14</v>
      </c>
    </row>
    <row r="279" spans="1:8" outlineLevel="1">
      <c r="A279" s="18">
        <v>272</v>
      </c>
      <c r="B279" s="9" t="s">
        <v>808</v>
      </c>
      <c r="C279" s="10" t="s">
        <v>809</v>
      </c>
      <c r="D279" s="10" t="s">
        <v>810</v>
      </c>
      <c r="E279" s="8" t="s">
        <v>23</v>
      </c>
      <c r="F279" s="15">
        <v>398.0</v>
      </c>
      <c r="G279" s="13">
        <f>F279*279</f>
        <v>111042</v>
      </c>
      <c r="H279" s="18" t="s">
        <v>14</v>
      </c>
    </row>
    <row r="280" spans="1:8" outlineLevel="1">
      <c r="A280" s="18">
        <v>273</v>
      </c>
      <c r="B280" s="9" t="s">
        <v>811</v>
      </c>
      <c r="C280" s="10" t="s">
        <v>812</v>
      </c>
      <c r="D280" s="10" t="s">
        <v>813</v>
      </c>
      <c r="E280" s="8" t="s">
        <v>23</v>
      </c>
      <c r="F280" s="15">
        <v>442.0</v>
      </c>
      <c r="G280" s="13">
        <f>F280*280</f>
        <v>123760</v>
      </c>
      <c r="H280" s="18" t="s">
        <v>14</v>
      </c>
    </row>
    <row r="281" spans="1:8" outlineLevel="1">
      <c r="A281" s="18">
        <v>274</v>
      </c>
      <c r="B281" s="9" t="s">
        <v>814</v>
      </c>
      <c r="C281" s="10" t="s">
        <v>812</v>
      </c>
      <c r="D281" s="10" t="s">
        <v>815</v>
      </c>
      <c r="E281" s="8" t="s">
        <v>23</v>
      </c>
      <c r="F281" s="15">
        <v>927.0</v>
      </c>
      <c r="G281" s="13">
        <f>F281*281</f>
        <v>260487</v>
      </c>
      <c r="H281" s="18" t="s">
        <v>14</v>
      </c>
    </row>
    <row r="282" spans="1:8" outlineLevel="1">
      <c r="A282" s="18">
        <v>275</v>
      </c>
      <c r="B282" s="9" t="s">
        <v>816</v>
      </c>
      <c r="C282" s="10" t="s">
        <v>817</v>
      </c>
      <c r="D282" s="10" t="s">
        <v>818</v>
      </c>
      <c r="E282" s="8" t="s">
        <v>23</v>
      </c>
      <c r="F282" s="15">
        <v>689.0</v>
      </c>
      <c r="G282" s="13">
        <f>F282*282</f>
        <v>194298</v>
      </c>
      <c r="H282" s="18" t="s">
        <v>14</v>
      </c>
    </row>
    <row r="283" spans="1:8" outlineLevel="1">
      <c r="A283" s="18">
        <v>276</v>
      </c>
      <c r="B283" s="9" t="s">
        <v>819</v>
      </c>
      <c r="C283" s="10" t="s">
        <v>820</v>
      </c>
      <c r="D283" s="10" t="s">
        <v>821</v>
      </c>
      <c r="E283" s="8" t="s">
        <v>23</v>
      </c>
      <c r="F283" s="15">
        <v>523.0</v>
      </c>
      <c r="G283" s="13">
        <f>F283*283</f>
        <v>148009</v>
      </c>
      <c r="H283" s="18" t="s">
        <v>14</v>
      </c>
    </row>
    <row r="284" spans="1:8" outlineLevel="1">
      <c r="A284" s="18">
        <v>277</v>
      </c>
      <c r="B284" s="9" t="s">
        <v>822</v>
      </c>
      <c r="C284" s="10" t="s">
        <v>823</v>
      </c>
      <c r="D284" s="10" t="s">
        <v>824</v>
      </c>
      <c r="E284" s="8">
        <v>1000.0</v>
      </c>
      <c r="F284" s="15">
        <v>581.0</v>
      </c>
      <c r="G284" s="13">
        <f>F284*284</f>
        <v>165004</v>
      </c>
      <c r="H284" s="18" t="s">
        <v>14</v>
      </c>
    </row>
    <row r="285" spans="1:8" outlineLevel="1">
      <c r="A285" s="18">
        <v>278</v>
      </c>
      <c r="B285" s="9" t="s">
        <v>825</v>
      </c>
      <c r="C285" s="10" t="s">
        <v>826</v>
      </c>
      <c r="D285" s="10" t="s">
        <v>827</v>
      </c>
      <c r="E285" s="8">
        <v>1000.0</v>
      </c>
      <c r="F285" s="15">
        <v>784.0</v>
      </c>
      <c r="G285" s="13">
        <f>F285*285</f>
        <v>223440</v>
      </c>
      <c r="H285" s="18" t="s">
        <v>14</v>
      </c>
    </row>
    <row r="286" spans="1:8" outlineLevel="1">
      <c r="A286" s="18">
        <v>279</v>
      </c>
      <c r="B286" s="9" t="s">
        <v>828</v>
      </c>
      <c r="C286" s="10" t="s">
        <v>829</v>
      </c>
      <c r="D286" s="10" t="s">
        <v>830</v>
      </c>
      <c r="E286" s="8">
        <v>1000.0</v>
      </c>
      <c r="F286" s="15">
        <v>546.0</v>
      </c>
      <c r="G286" s="13">
        <f>F286*286</f>
        <v>156156</v>
      </c>
      <c r="H286" s="18" t="s">
        <v>14</v>
      </c>
    </row>
    <row r="287" spans="1:8" outlineLevel="1">
      <c r="A287" s="18">
        <v>280</v>
      </c>
      <c r="B287" s="9" t="s">
        <v>831</v>
      </c>
      <c r="C287" s="10" t="s">
        <v>832</v>
      </c>
      <c r="D287" s="10" t="s">
        <v>833</v>
      </c>
      <c r="E287" s="8">
        <v>1000.0</v>
      </c>
      <c r="F287" s="15">
        <v>336.0</v>
      </c>
      <c r="G287" s="13">
        <f>F287*287</f>
        <v>96432</v>
      </c>
      <c r="H287" s="18" t="s">
        <v>14</v>
      </c>
    </row>
    <row r="288" spans="1:8" outlineLevel="1">
      <c r="A288" s="18">
        <v>281</v>
      </c>
      <c r="B288" s="9" t="s">
        <v>834</v>
      </c>
      <c r="C288" s="10" t="s">
        <v>835</v>
      </c>
      <c r="D288" s="10" t="s">
        <v>836</v>
      </c>
      <c r="E288" s="8">
        <v>1000.0</v>
      </c>
      <c r="F288" s="15">
        <v>180.0</v>
      </c>
      <c r="G288" s="13">
        <f>F288*288</f>
        <v>51840</v>
      </c>
      <c r="H288" s="18" t="s">
        <v>14</v>
      </c>
    </row>
    <row r="289" spans="1:8" outlineLevel="1">
      <c r="A289" s="18">
        <v>282</v>
      </c>
      <c r="B289" s="9" t="s">
        <v>837</v>
      </c>
      <c r="C289" s="10" t="s">
        <v>838</v>
      </c>
      <c r="D289" s="10" t="s">
        <v>839</v>
      </c>
      <c r="E289" s="8">
        <v>1000.0</v>
      </c>
      <c r="F289" s="15">
        <v>388.0</v>
      </c>
      <c r="G289" s="13">
        <f>F289*289</f>
        <v>112132</v>
      </c>
      <c r="H289" s="18" t="s">
        <v>14</v>
      </c>
    </row>
    <row r="290" spans="1:8" outlineLevel="1">
      <c r="A290" s="18">
        <v>283</v>
      </c>
      <c r="B290" s="9" t="s">
        <v>840</v>
      </c>
      <c r="C290" s="10" t="s">
        <v>841</v>
      </c>
      <c r="D290" s="10" t="s">
        <v>842</v>
      </c>
      <c r="E290" s="8" t="s">
        <v>23</v>
      </c>
      <c r="F290" s="15">
        <v>6059.0</v>
      </c>
      <c r="G290" s="13">
        <f>F290*290</f>
        <v>1757110</v>
      </c>
      <c r="H290" s="18" t="s">
        <v>14</v>
      </c>
    </row>
    <row r="291" spans="1:8" outlineLevel="1">
      <c r="A291" s="18">
        <v>284</v>
      </c>
      <c r="B291" s="9" t="s">
        <v>843</v>
      </c>
      <c r="C291" s="10" t="s">
        <v>844</v>
      </c>
      <c r="D291" s="10" t="s">
        <v>845</v>
      </c>
      <c r="E291" s="8">
        <v>1000.0</v>
      </c>
      <c r="F291" s="15">
        <v>573.0</v>
      </c>
      <c r="G291" s="13">
        <f>F291*291</f>
        <v>166743</v>
      </c>
      <c r="H291" s="18" t="s">
        <v>14</v>
      </c>
    </row>
    <row r="292" spans="1:8" outlineLevel="1">
      <c r="A292" s="18">
        <v>285</v>
      </c>
      <c r="B292" s="9" t="s">
        <v>846</v>
      </c>
      <c r="C292" s="10" t="s">
        <v>847</v>
      </c>
      <c r="D292" s="10" t="s">
        <v>848</v>
      </c>
      <c r="E292" s="8">
        <v>1000.0</v>
      </c>
      <c r="F292" s="15">
        <v>42785.0</v>
      </c>
      <c r="G292" s="13">
        <f>F292*292</f>
        <v>12493220</v>
      </c>
      <c r="H292" s="18" t="s">
        <v>14</v>
      </c>
    </row>
    <row r="293" spans="1:8" outlineLevel="1">
      <c r="A293" s="18">
        <v>286</v>
      </c>
      <c r="B293" s="9" t="s">
        <v>849</v>
      </c>
      <c r="C293" s="10" t="s">
        <v>850</v>
      </c>
      <c r="D293" s="10" t="s">
        <v>851</v>
      </c>
      <c r="E293" s="8" t="s">
        <v>23</v>
      </c>
      <c r="F293" s="15">
        <v>11778.0</v>
      </c>
      <c r="G293" s="13">
        <f>F293*293</f>
        <v>3450954</v>
      </c>
      <c r="H293" s="18" t="s">
        <v>14</v>
      </c>
    </row>
    <row r="294" spans="1:8" outlineLevel="1">
      <c r="A294" s="18">
        <v>287</v>
      </c>
      <c r="B294" s="9" t="s">
        <v>852</v>
      </c>
      <c r="C294" s="10" t="s">
        <v>853</v>
      </c>
      <c r="D294" s="10" t="s">
        <v>854</v>
      </c>
      <c r="E294" s="8">
        <v>1000.0</v>
      </c>
      <c r="F294" s="15">
        <v>2032.0</v>
      </c>
      <c r="G294" s="13">
        <f>F294*294</f>
        <v>597408</v>
      </c>
      <c r="H294" s="18" t="s">
        <v>14</v>
      </c>
    </row>
    <row r="295" spans="1:8" outlineLevel="1">
      <c r="A295" s="18">
        <v>288</v>
      </c>
      <c r="B295" s="9" t="s">
        <v>855</v>
      </c>
      <c r="C295" s="10" t="s">
        <v>856</v>
      </c>
      <c r="D295" s="10" t="s">
        <v>857</v>
      </c>
      <c r="E295" s="8" t="s">
        <v>23</v>
      </c>
      <c r="F295" s="15">
        <v>38292.0</v>
      </c>
      <c r="G295" s="13">
        <f>F295*295</f>
        <v>11296140</v>
      </c>
      <c r="H295" s="18" t="s">
        <v>14</v>
      </c>
    </row>
    <row r="296" spans="1:8" outlineLevel="1">
      <c r="A296" s="18">
        <v>289</v>
      </c>
      <c r="B296" s="9" t="s">
        <v>858</v>
      </c>
      <c r="C296" s="10" t="s">
        <v>859</v>
      </c>
      <c r="D296" s="10" t="s">
        <v>860</v>
      </c>
      <c r="E296" s="8">
        <v>1000.0</v>
      </c>
      <c r="F296" s="15">
        <v>0.0</v>
      </c>
      <c r="G296" s="13">
        <f>F296*296</f>
        <v>0</v>
      </c>
      <c r="H296" s="18" t="s">
        <v>14</v>
      </c>
    </row>
    <row r="297" spans="1:8" outlineLevel="1">
      <c r="A297" s="18">
        <v>290</v>
      </c>
      <c r="B297" s="9" t="s">
        <v>861</v>
      </c>
      <c r="C297" s="10" t="s">
        <v>862</v>
      </c>
      <c r="D297" s="10" t="s">
        <v>863</v>
      </c>
      <c r="E297" s="8">
        <v>1000.0</v>
      </c>
      <c r="F297" s="15">
        <v>7987.0</v>
      </c>
      <c r="G297" s="13">
        <f>F297*297</f>
        <v>2372139</v>
      </c>
      <c r="H297" s="18" t="s">
        <v>14</v>
      </c>
    </row>
    <row r="298" spans="1:8" outlineLevel="1">
      <c r="A298" s="18">
        <v>291</v>
      </c>
      <c r="B298" s="9" t="s">
        <v>864</v>
      </c>
      <c r="C298" s="10" t="s">
        <v>865</v>
      </c>
      <c r="D298" s="10" t="s">
        <v>866</v>
      </c>
      <c r="E298" s="8">
        <v>1000.0</v>
      </c>
      <c r="F298" s="15">
        <v>442.0</v>
      </c>
      <c r="G298" s="13">
        <f>F298*298</f>
        <v>131716</v>
      </c>
      <c r="H298" s="18" t="s">
        <v>14</v>
      </c>
    </row>
    <row r="299" spans="1:8" outlineLevel="1">
      <c r="A299" s="18">
        <v>292</v>
      </c>
      <c r="B299" s="9" t="s">
        <v>867</v>
      </c>
      <c r="C299" s="10" t="s">
        <v>868</v>
      </c>
      <c r="D299" s="10" t="s">
        <v>869</v>
      </c>
      <c r="E299" s="8">
        <v>1000.0</v>
      </c>
      <c r="F299" s="15">
        <v>10726.0</v>
      </c>
      <c r="G299" s="13">
        <f>F299*299</f>
        <v>3207074</v>
      </c>
      <c r="H299" s="18" t="s">
        <v>14</v>
      </c>
    </row>
    <row r="300" spans="1:8" outlineLevel="1">
      <c r="A300" s="18">
        <v>293</v>
      </c>
      <c r="B300" s="9" t="s">
        <v>870</v>
      </c>
      <c r="C300" s="10" t="s">
        <v>871</v>
      </c>
      <c r="D300" s="10" t="s">
        <v>872</v>
      </c>
      <c r="E300" s="8">
        <v>1000.0</v>
      </c>
      <c r="F300" s="15">
        <v>4680.0</v>
      </c>
      <c r="G300" s="13">
        <f>F300*300</f>
        <v>1404000</v>
      </c>
      <c r="H300" s="18" t="s">
        <v>14</v>
      </c>
    </row>
    <row r="301" spans="1:8" outlineLevel="1">
      <c r="A301" s="18">
        <v>294</v>
      </c>
      <c r="B301" s="9" t="s">
        <v>873</v>
      </c>
      <c r="C301" s="10" t="s">
        <v>874</v>
      </c>
      <c r="D301" s="10" t="s">
        <v>875</v>
      </c>
      <c r="E301" s="8">
        <v>1000.0</v>
      </c>
      <c r="F301" s="15">
        <v>6017.0</v>
      </c>
      <c r="G301" s="13">
        <f>F301*301</f>
        <v>1811117</v>
      </c>
      <c r="H301" s="18" t="s">
        <v>14</v>
      </c>
    </row>
    <row r="302" spans="1:8" outlineLevel="1">
      <c r="A302" s="18">
        <v>295</v>
      </c>
      <c r="B302" s="9" t="s">
        <v>876</v>
      </c>
      <c r="C302" s="10" t="s">
        <v>877</v>
      </c>
      <c r="D302" s="10" t="s">
        <v>878</v>
      </c>
      <c r="E302" s="8" t="s">
        <v>23</v>
      </c>
      <c r="F302" s="15">
        <v>2193.0</v>
      </c>
      <c r="G302" s="13">
        <f>F302*302</f>
        <v>662286</v>
      </c>
      <c r="H302" s="18" t="s">
        <v>14</v>
      </c>
    </row>
    <row r="303" spans="1:8" outlineLevel="1">
      <c r="A303" s="18">
        <v>296</v>
      </c>
      <c r="B303" s="9" t="s">
        <v>879</v>
      </c>
      <c r="C303" s="10" t="s">
        <v>880</v>
      </c>
      <c r="D303" s="10" t="s">
        <v>881</v>
      </c>
      <c r="E303" s="8" t="s">
        <v>23</v>
      </c>
      <c r="F303" s="15">
        <v>2881.0</v>
      </c>
      <c r="G303" s="13">
        <f>F303*303</f>
        <v>872943</v>
      </c>
      <c r="H303" s="18" t="s">
        <v>14</v>
      </c>
    </row>
    <row r="304" spans="1:8" outlineLevel="1">
      <c r="A304" s="18">
        <v>297</v>
      </c>
      <c r="B304" s="9" t="s">
        <v>882</v>
      </c>
      <c r="C304" s="10" t="s">
        <v>883</v>
      </c>
      <c r="D304" s="10" t="s">
        <v>884</v>
      </c>
      <c r="E304" s="8" t="s">
        <v>23</v>
      </c>
      <c r="F304" s="15">
        <v>2533.0</v>
      </c>
      <c r="G304" s="13">
        <f>F304*304</f>
        <v>770032</v>
      </c>
      <c r="H304" s="18" t="s">
        <v>14</v>
      </c>
    </row>
    <row r="305" spans="1:8" outlineLevel="1">
      <c r="A305" s="18">
        <v>298</v>
      </c>
      <c r="B305" s="9" t="s">
        <v>885</v>
      </c>
      <c r="C305" s="10" t="s">
        <v>886</v>
      </c>
      <c r="D305" s="10" t="s">
        <v>887</v>
      </c>
      <c r="E305" s="8" t="s">
        <v>23</v>
      </c>
      <c r="F305" s="15">
        <v>3336.0</v>
      </c>
      <c r="G305" s="13">
        <f>F305*305</f>
        <v>1017480</v>
      </c>
      <c r="H305" s="18" t="s">
        <v>14</v>
      </c>
    </row>
    <row r="306" spans="1:8" outlineLevel="1">
      <c r="A306" s="18">
        <v>299</v>
      </c>
      <c r="B306" s="9" t="s">
        <v>888</v>
      </c>
      <c r="C306" s="10" t="s">
        <v>889</v>
      </c>
      <c r="D306" s="10" t="s">
        <v>890</v>
      </c>
      <c r="E306" s="8" t="s">
        <v>23</v>
      </c>
      <c r="F306" s="15">
        <v>9889.0</v>
      </c>
      <c r="G306" s="13">
        <f>F306*306</f>
        <v>3026034</v>
      </c>
      <c r="H306" s="18" t="s">
        <v>14</v>
      </c>
    </row>
    <row r="307" spans="1:8" outlineLevel="1">
      <c r="A307" s="18">
        <v>300</v>
      </c>
      <c r="B307" s="9" t="s">
        <v>891</v>
      </c>
      <c r="C307" s="10" t="s">
        <v>892</v>
      </c>
      <c r="D307" s="10" t="s">
        <v>893</v>
      </c>
      <c r="E307" s="8" t="s">
        <v>23</v>
      </c>
      <c r="F307" s="15">
        <v>11220.0</v>
      </c>
      <c r="G307" s="13">
        <f>F307*307</f>
        <v>3444540</v>
      </c>
      <c r="H307" s="18" t="s">
        <v>14</v>
      </c>
    </row>
    <row r="308" spans="1:8" outlineLevel="1">
      <c r="A308" s="18">
        <v>301</v>
      </c>
      <c r="B308" s="9" t="s">
        <v>894</v>
      </c>
      <c r="C308" s="10" t="s">
        <v>895</v>
      </c>
      <c r="D308" s="10" t="s">
        <v>896</v>
      </c>
      <c r="E308" s="8" t="s">
        <v>23</v>
      </c>
      <c r="F308" s="15">
        <v>19963.0</v>
      </c>
      <c r="G308" s="13">
        <f>F308*308</f>
        <v>6148604</v>
      </c>
      <c r="H308" s="18" t="s">
        <v>14</v>
      </c>
    </row>
    <row r="309" spans="1:8" outlineLevel="1">
      <c r="A309" s="18">
        <v>302</v>
      </c>
      <c r="B309" s="9" t="s">
        <v>897</v>
      </c>
      <c r="C309" s="10" t="s">
        <v>898</v>
      </c>
      <c r="D309" s="10" t="s">
        <v>899</v>
      </c>
      <c r="E309" s="8">
        <v>1000.0</v>
      </c>
      <c r="F309" s="15">
        <v>780.0</v>
      </c>
      <c r="G309" s="13">
        <f>F309*309</f>
        <v>241020</v>
      </c>
      <c r="H309" s="18" t="s">
        <v>14</v>
      </c>
    </row>
    <row r="310" spans="1:8" outlineLevel="1">
      <c r="A310" s="18">
        <v>303</v>
      </c>
      <c r="B310" s="9" t="s">
        <v>900</v>
      </c>
      <c r="C310" s="10" t="s">
        <v>901</v>
      </c>
      <c r="D310" s="10" t="s">
        <v>902</v>
      </c>
      <c r="E310" s="8">
        <v>1000.0</v>
      </c>
      <c r="F310" s="15">
        <v>925.0</v>
      </c>
      <c r="G310" s="13">
        <f>F310*310</f>
        <v>286750</v>
      </c>
      <c r="H310" s="18" t="s">
        <v>14</v>
      </c>
    </row>
    <row r="311" spans="1:8" outlineLevel="1">
      <c r="A311" s="18">
        <v>304</v>
      </c>
      <c r="B311" s="9" t="s">
        <v>903</v>
      </c>
      <c r="C311" s="10" t="s">
        <v>904</v>
      </c>
      <c r="D311" s="10" t="s">
        <v>905</v>
      </c>
      <c r="E311" s="8">
        <v>1000.0</v>
      </c>
      <c r="F311" s="15">
        <v>4060.0</v>
      </c>
      <c r="G311" s="13">
        <f>F311*311</f>
        <v>1262660</v>
      </c>
      <c r="H311" s="18" t="s">
        <v>14</v>
      </c>
    </row>
    <row r="312" spans="1:8" outlineLevel="1">
      <c r="A312" s="18">
        <v>305</v>
      </c>
      <c r="B312" s="9" t="s">
        <v>906</v>
      </c>
      <c r="C312" s="10" t="s">
        <v>907</v>
      </c>
      <c r="D312" s="10" t="s">
        <v>908</v>
      </c>
      <c r="E312" s="8">
        <v>1000.0</v>
      </c>
      <c r="F312" s="15">
        <v>1536.0</v>
      </c>
      <c r="G312" s="13">
        <f>F312*312</f>
        <v>479232</v>
      </c>
      <c r="H312" s="18" t="s">
        <v>14</v>
      </c>
    </row>
    <row r="313" spans="1:8" outlineLevel="1">
      <c r="A313" s="18">
        <v>306</v>
      </c>
      <c r="B313" s="9" t="s">
        <v>909</v>
      </c>
      <c r="C313" s="10" t="s">
        <v>910</v>
      </c>
      <c r="D313" s="10" t="s">
        <v>911</v>
      </c>
      <c r="E313" s="8">
        <v>1000.0</v>
      </c>
      <c r="F313" s="15">
        <v>1787.0</v>
      </c>
      <c r="G313" s="13">
        <f>F313*313</f>
        <v>559331</v>
      </c>
      <c r="H313" s="18" t="s">
        <v>14</v>
      </c>
    </row>
    <row r="314" spans="1:8" outlineLevel="1">
      <c r="A314" s="18">
        <v>307</v>
      </c>
      <c r="B314" s="9" t="s">
        <v>912</v>
      </c>
      <c r="C314" s="10" t="s">
        <v>913</v>
      </c>
      <c r="D314" s="10" t="s">
        <v>914</v>
      </c>
      <c r="E314" s="8">
        <v>1000.0</v>
      </c>
      <c r="F314" s="15">
        <v>2004.0</v>
      </c>
      <c r="G314" s="13">
        <f>F314*314</f>
        <v>629256</v>
      </c>
      <c r="H314" s="18" t="s">
        <v>14</v>
      </c>
    </row>
    <row r="315" spans="1:8" outlineLevel="1">
      <c r="A315" s="18">
        <v>308</v>
      </c>
      <c r="B315" s="9" t="s">
        <v>915</v>
      </c>
      <c r="C315" s="10" t="s">
        <v>916</v>
      </c>
      <c r="D315" s="10" t="s">
        <v>917</v>
      </c>
      <c r="E315" s="8">
        <v>1000.0</v>
      </c>
      <c r="F315" s="15">
        <v>25861.0</v>
      </c>
      <c r="G315" s="13">
        <f>F315*315</f>
        <v>8146215</v>
      </c>
      <c r="H315" s="18" t="s">
        <v>14</v>
      </c>
    </row>
    <row r="316" spans="1:8" outlineLevel="1">
      <c r="A316" s="18">
        <v>309</v>
      </c>
      <c r="B316" s="9" t="s">
        <v>918</v>
      </c>
      <c r="C316" s="10" t="s">
        <v>919</v>
      </c>
      <c r="D316" s="10" t="s">
        <v>920</v>
      </c>
      <c r="E316" s="8">
        <v>1000.0</v>
      </c>
      <c r="F316" s="15">
        <v>9854.0</v>
      </c>
      <c r="G316" s="13">
        <f>F316*316</f>
        <v>3113864</v>
      </c>
      <c r="H316" s="18" t="s">
        <v>14</v>
      </c>
    </row>
    <row r="317" spans="1:8" outlineLevel="1">
      <c r="A317" s="18">
        <v>310</v>
      </c>
      <c r="B317" s="9" t="s">
        <v>921</v>
      </c>
      <c r="C317" s="10" t="s">
        <v>922</v>
      </c>
      <c r="D317" s="10" t="s">
        <v>923</v>
      </c>
      <c r="E317" s="8">
        <v>1000.0</v>
      </c>
      <c r="F317" s="15">
        <v>1698.0</v>
      </c>
      <c r="G317" s="13">
        <f>F317*317</f>
        <v>538266</v>
      </c>
      <c r="H317" s="18" t="s">
        <v>14</v>
      </c>
    </row>
    <row r="318" spans="1:8" outlineLevel="1">
      <c r="A318" s="18">
        <v>311</v>
      </c>
      <c r="B318" s="9" t="s">
        <v>924</v>
      </c>
      <c r="C318" s="10" t="s">
        <v>925</v>
      </c>
      <c r="D318" s="10" t="s">
        <v>926</v>
      </c>
      <c r="E318" s="8">
        <v>1000.0</v>
      </c>
      <c r="F318" s="15">
        <v>4224.0</v>
      </c>
      <c r="G318" s="13">
        <f>F318*318</f>
        <v>1343232</v>
      </c>
      <c r="H318" s="18" t="s">
        <v>14</v>
      </c>
    </row>
    <row r="319" spans="1:8" outlineLevel="1">
      <c r="A319" s="18">
        <v>312</v>
      </c>
      <c r="B319" s="9" t="s">
        <v>927</v>
      </c>
      <c r="C319" s="10" t="s">
        <v>928</v>
      </c>
      <c r="D319" s="10" t="s">
        <v>929</v>
      </c>
      <c r="E319" s="8">
        <v>1000.0</v>
      </c>
      <c r="F319" s="15">
        <v>1613.0</v>
      </c>
      <c r="G319" s="13">
        <f>F319*319</f>
        <v>514547</v>
      </c>
      <c r="H319" s="18" t="s">
        <v>14</v>
      </c>
    </row>
    <row r="320" spans="1:8" outlineLevel="1">
      <c r="A320" s="18">
        <v>313</v>
      </c>
      <c r="B320" s="9" t="s">
        <v>930</v>
      </c>
      <c r="C320" s="10" t="s">
        <v>928</v>
      </c>
      <c r="D320" s="10" t="s">
        <v>931</v>
      </c>
      <c r="E320" s="8">
        <v>1000.0</v>
      </c>
      <c r="F320" s="15">
        <v>231.0</v>
      </c>
      <c r="G320" s="13">
        <f>F320*320</f>
        <v>73920</v>
      </c>
      <c r="H320" s="18" t="s">
        <v>14</v>
      </c>
    </row>
    <row r="321" spans="1:8" outlineLevel="1">
      <c r="A321" s="18">
        <v>314</v>
      </c>
      <c r="B321" s="9" t="s">
        <v>932</v>
      </c>
      <c r="C321" s="10" t="s">
        <v>933</v>
      </c>
      <c r="D321" s="10" t="s">
        <v>934</v>
      </c>
      <c r="E321" s="8">
        <v>1000.0</v>
      </c>
      <c r="F321" s="15">
        <v>7919.0</v>
      </c>
      <c r="G321" s="13">
        <f>F321*321</f>
        <v>2541999</v>
      </c>
      <c r="H321" s="18" t="s">
        <v>14</v>
      </c>
    </row>
    <row r="322" spans="1:8" outlineLevel="1">
      <c r="A322" s="18">
        <v>315</v>
      </c>
      <c r="B322" s="9" t="s">
        <v>935</v>
      </c>
      <c r="C322" s="10" t="s">
        <v>936</v>
      </c>
      <c r="D322" s="10" t="s">
        <v>937</v>
      </c>
      <c r="E322" s="8">
        <v>1000.0</v>
      </c>
      <c r="F322" s="15">
        <v>1999.0</v>
      </c>
      <c r="G322" s="13">
        <f>F322*322</f>
        <v>643678</v>
      </c>
      <c r="H322" s="18" t="s">
        <v>14</v>
      </c>
    </row>
    <row r="323" spans="1:8" outlineLevel="1">
      <c r="A323" s="18">
        <v>316</v>
      </c>
      <c r="B323" s="9" t="s">
        <v>938</v>
      </c>
      <c r="C323" s="10" t="s">
        <v>939</v>
      </c>
      <c r="D323" s="10" t="s">
        <v>940</v>
      </c>
      <c r="E323" s="8">
        <v>1000.0</v>
      </c>
      <c r="F323" s="15">
        <v>924.0</v>
      </c>
      <c r="G323" s="13">
        <f>F323*323</f>
        <v>298452</v>
      </c>
      <c r="H323" s="18" t="s">
        <v>14</v>
      </c>
    </row>
    <row r="324" spans="1:8" outlineLevel="1">
      <c r="A324" s="18">
        <v>317</v>
      </c>
      <c r="B324" s="9" t="s">
        <v>941</v>
      </c>
      <c r="C324" s="10" t="s">
        <v>942</v>
      </c>
      <c r="D324" s="10" t="s">
        <v>943</v>
      </c>
      <c r="E324" s="8">
        <v>1000.0</v>
      </c>
      <c r="F324" s="15">
        <v>3145.0</v>
      </c>
      <c r="G324" s="13">
        <f>F324*324</f>
        <v>1018980</v>
      </c>
      <c r="H324" s="18" t="s">
        <v>14</v>
      </c>
    </row>
    <row r="325" spans="1:8" outlineLevel="1">
      <c r="A325" s="18">
        <v>318</v>
      </c>
      <c r="B325" s="9" t="s">
        <v>944</v>
      </c>
      <c r="C325" s="10" t="s">
        <v>945</v>
      </c>
      <c r="D325" s="10" t="s">
        <v>946</v>
      </c>
      <c r="E325" s="8" t="s">
        <v>23</v>
      </c>
      <c r="F325" s="15">
        <v>5004.0</v>
      </c>
      <c r="G325" s="13">
        <f>F325*325</f>
        <v>1626300</v>
      </c>
      <c r="H325" s="18" t="s">
        <v>14</v>
      </c>
    </row>
    <row r="326" spans="1:8" outlineLevel="1">
      <c r="A326" s="18">
        <v>319</v>
      </c>
      <c r="B326" s="9" t="s">
        <v>947</v>
      </c>
      <c r="C326" s="10" t="s">
        <v>948</v>
      </c>
      <c r="D326" s="10" t="s">
        <v>949</v>
      </c>
      <c r="E326" s="8" t="s">
        <v>23</v>
      </c>
      <c r="F326" s="15">
        <v>4107.0</v>
      </c>
      <c r="G326" s="13">
        <f>F326*326</f>
        <v>1338882</v>
      </c>
      <c r="H326" s="18" t="s">
        <v>14</v>
      </c>
    </row>
    <row r="327" spans="1:8" outlineLevel="1">
      <c r="A327" s="18">
        <v>320</v>
      </c>
      <c r="B327" s="9" t="s">
        <v>950</v>
      </c>
      <c r="C327" s="10" t="s">
        <v>951</v>
      </c>
      <c r="D327" s="10" t="s">
        <v>952</v>
      </c>
      <c r="E327" s="8">
        <v>1000.0</v>
      </c>
      <c r="F327" s="15">
        <v>500.0</v>
      </c>
      <c r="G327" s="13">
        <f>F327*327</f>
        <v>163500</v>
      </c>
      <c r="H327" s="18" t="s">
        <v>14</v>
      </c>
    </row>
    <row r="328" spans="1:8" outlineLevel="1">
      <c r="A328" s="18">
        <v>321</v>
      </c>
      <c r="B328" s="9" t="s">
        <v>953</v>
      </c>
      <c r="C328" s="10" t="s">
        <v>954</v>
      </c>
      <c r="D328" s="10" t="s">
        <v>955</v>
      </c>
      <c r="E328" s="8">
        <v>1000.0</v>
      </c>
      <c r="F328" s="15">
        <v>514.0</v>
      </c>
      <c r="G328" s="13">
        <f>F328*328</f>
        <v>168592</v>
      </c>
      <c r="H328" s="18" t="s">
        <v>14</v>
      </c>
    </row>
    <row r="329" spans="1:8" outlineLevel="1">
      <c r="A329" s="18">
        <v>322</v>
      </c>
      <c r="B329" s="9" t="s">
        <v>956</v>
      </c>
      <c r="C329" s="10" t="s">
        <v>957</v>
      </c>
      <c r="D329" s="10" t="s">
        <v>958</v>
      </c>
      <c r="E329" s="8">
        <v>1000.0</v>
      </c>
      <c r="F329" s="15">
        <v>440.0</v>
      </c>
      <c r="G329" s="13">
        <f>F329*329</f>
        <v>144760</v>
      </c>
      <c r="H329" s="18" t="s">
        <v>14</v>
      </c>
    </row>
    <row r="330" spans="1:8" outlineLevel="1">
      <c r="A330" s="18">
        <v>323</v>
      </c>
      <c r="B330" s="9" t="s">
        <v>959</v>
      </c>
      <c r="C330" s="10" t="s">
        <v>960</v>
      </c>
      <c r="D330" s="10" t="s">
        <v>961</v>
      </c>
      <c r="E330" s="8">
        <v>1000.0</v>
      </c>
      <c r="F330" s="15">
        <v>767.0</v>
      </c>
      <c r="G330" s="13">
        <f>F330*330</f>
        <v>253110</v>
      </c>
      <c r="H330" s="18" t="s">
        <v>14</v>
      </c>
    </row>
    <row r="331" spans="1:8" outlineLevel="1">
      <c r="A331" s="18">
        <v>324</v>
      </c>
      <c r="B331" s="9" t="s">
        <v>962</v>
      </c>
      <c r="C331" s="10" t="s">
        <v>963</v>
      </c>
      <c r="D331" s="10" t="s">
        <v>964</v>
      </c>
      <c r="E331" s="8">
        <v>1000.0</v>
      </c>
      <c r="F331" s="15">
        <v>3784.0</v>
      </c>
      <c r="G331" s="13">
        <f>F331*331</f>
        <v>1252504</v>
      </c>
      <c r="H331" s="18" t="s">
        <v>14</v>
      </c>
    </row>
    <row r="332" spans="1:8" outlineLevel="1">
      <c r="A332" s="18">
        <v>325</v>
      </c>
      <c r="B332" s="9" t="s">
        <v>965</v>
      </c>
      <c r="C332" s="10" t="s">
        <v>966</v>
      </c>
      <c r="D332" s="10" t="s">
        <v>967</v>
      </c>
      <c r="E332" s="8">
        <v>1000.0</v>
      </c>
      <c r="F332" s="15">
        <v>430.0</v>
      </c>
      <c r="G332" s="13">
        <f>F332*332</f>
        <v>142760</v>
      </c>
      <c r="H332" s="18" t="s">
        <v>14</v>
      </c>
    </row>
    <row r="333" spans="1:8" outlineLevel="1">
      <c r="A333" s="18">
        <v>326</v>
      </c>
      <c r="B333" s="9" t="s">
        <v>968</v>
      </c>
      <c r="C333" s="10" t="s">
        <v>969</v>
      </c>
      <c r="D333" s="10" t="s">
        <v>970</v>
      </c>
      <c r="E333" s="8">
        <v>1000.0</v>
      </c>
      <c r="F333" s="15">
        <v>1043.0</v>
      </c>
      <c r="G333" s="13">
        <f>F333*333</f>
        <v>347319</v>
      </c>
      <c r="H333" s="18" t="s">
        <v>14</v>
      </c>
    </row>
    <row r="334" spans="1:8" outlineLevel="1">
      <c r="A334" s="18">
        <v>327</v>
      </c>
      <c r="B334" s="9" t="s">
        <v>971</v>
      </c>
      <c r="C334" s="10" t="s">
        <v>972</v>
      </c>
      <c r="D334" s="10" t="s">
        <v>973</v>
      </c>
      <c r="E334" s="8">
        <v>1000.0</v>
      </c>
      <c r="F334" s="15">
        <v>280.0</v>
      </c>
      <c r="G334" s="13">
        <f>F334*334</f>
        <v>93520</v>
      </c>
      <c r="H334" s="18" t="s">
        <v>14</v>
      </c>
    </row>
    <row r="335" spans="1:8" outlineLevel="1">
      <c r="A335" s="18">
        <v>328</v>
      </c>
      <c r="B335" s="9" t="s">
        <v>974</v>
      </c>
      <c r="C335" s="10" t="s">
        <v>975</v>
      </c>
      <c r="D335" s="10" t="s">
        <v>976</v>
      </c>
      <c r="E335" s="8" t="s">
        <v>23</v>
      </c>
      <c r="F335" s="15">
        <v>456.0</v>
      </c>
      <c r="G335" s="13">
        <f>F335*335</f>
        <v>152760</v>
      </c>
      <c r="H335" s="18" t="s">
        <v>14</v>
      </c>
    </row>
    <row r="336" spans="1:8" outlineLevel="1">
      <c r="A336" s="18">
        <v>329</v>
      </c>
      <c r="B336" s="9" t="s">
        <v>977</v>
      </c>
      <c r="C336" s="10" t="s">
        <v>978</v>
      </c>
      <c r="D336" s="10" t="s">
        <v>979</v>
      </c>
      <c r="E336" s="8" t="s">
        <v>23</v>
      </c>
      <c r="F336" s="15">
        <v>208.0</v>
      </c>
      <c r="G336" s="13">
        <f>F336*336</f>
        <v>69888</v>
      </c>
      <c r="H336" s="18" t="s">
        <v>14</v>
      </c>
    </row>
    <row r="337" spans="1:8" outlineLevel="1">
      <c r="A337" s="18">
        <v>330</v>
      </c>
      <c r="B337" s="9" t="s">
        <v>980</v>
      </c>
      <c r="C337" s="10" t="s">
        <v>981</v>
      </c>
      <c r="D337" s="10" t="s">
        <v>982</v>
      </c>
      <c r="E337" s="8" t="s">
        <v>23</v>
      </c>
      <c r="F337" s="15">
        <v>11808.0</v>
      </c>
      <c r="G337" s="13">
        <f>F337*337</f>
        <v>3979296</v>
      </c>
      <c r="H337" s="18" t="s">
        <v>14</v>
      </c>
    </row>
    <row r="338" spans="1:8" outlineLevel="1">
      <c r="A338" s="18">
        <v>331</v>
      </c>
      <c r="B338" s="9" t="s">
        <v>983</v>
      </c>
      <c r="C338" s="10" t="s">
        <v>984</v>
      </c>
      <c r="D338" s="10" t="s">
        <v>985</v>
      </c>
      <c r="E338" s="8">
        <v>1000.0</v>
      </c>
      <c r="F338" s="15">
        <v>1591.0</v>
      </c>
      <c r="G338" s="13">
        <f>F338*338</f>
        <v>537758</v>
      </c>
      <c r="H338" s="18" t="s">
        <v>14</v>
      </c>
    </row>
    <row r="339" spans="1:8" outlineLevel="1">
      <c r="A339" s="18">
        <v>332</v>
      </c>
      <c r="B339" s="9" t="s">
        <v>986</v>
      </c>
      <c r="C339" s="10" t="s">
        <v>987</v>
      </c>
      <c r="D339" s="10" t="s">
        <v>988</v>
      </c>
      <c r="E339" s="8" t="s">
        <v>23</v>
      </c>
      <c r="F339" s="15">
        <v>51137.0</v>
      </c>
      <c r="G339" s="13">
        <f>F339*339</f>
        <v>17335443</v>
      </c>
      <c r="H339" s="18" t="s">
        <v>14</v>
      </c>
    </row>
    <row r="340" spans="1:8" outlineLevel="1">
      <c r="A340" s="18">
        <v>333</v>
      </c>
      <c r="B340" s="9" t="s">
        <v>989</v>
      </c>
      <c r="C340" s="10" t="s">
        <v>990</v>
      </c>
      <c r="D340" s="10" t="s">
        <v>991</v>
      </c>
      <c r="E340" s="8" t="s">
        <v>23</v>
      </c>
      <c r="F340" s="15">
        <v>2022.0</v>
      </c>
      <c r="G340" s="13">
        <f>F340*340</f>
        <v>687480</v>
      </c>
      <c r="H340" s="18" t="s">
        <v>14</v>
      </c>
    </row>
    <row r="341" spans="1:8" outlineLevel="1">
      <c r="A341" s="18">
        <v>334</v>
      </c>
      <c r="B341" s="9" t="s">
        <v>992</v>
      </c>
      <c r="C341" s="10" t="s">
        <v>993</v>
      </c>
      <c r="D341" s="10" t="s">
        <v>994</v>
      </c>
      <c r="E341" s="8" t="s">
        <v>23</v>
      </c>
      <c r="F341" s="15">
        <v>4230.0</v>
      </c>
      <c r="G341" s="13">
        <f>F341*341</f>
        <v>1442430</v>
      </c>
      <c r="H341" s="18" t="s">
        <v>14</v>
      </c>
    </row>
    <row r="342" spans="1:8" outlineLevel="1">
      <c r="A342" s="18">
        <v>335</v>
      </c>
      <c r="B342" s="9" t="s">
        <v>995</v>
      </c>
      <c r="C342" s="10" t="s">
        <v>996</v>
      </c>
      <c r="D342" s="10" t="s">
        <v>997</v>
      </c>
      <c r="E342" s="8" t="s">
        <v>23</v>
      </c>
      <c r="F342" s="15">
        <v>5761.0</v>
      </c>
      <c r="G342" s="13">
        <f>F342*342</f>
        <v>1970262</v>
      </c>
      <c r="H342" s="18" t="s">
        <v>14</v>
      </c>
    </row>
    <row r="343" spans="1:8" outlineLevel="1">
      <c r="A343" s="18">
        <v>336</v>
      </c>
      <c r="B343" s="9" t="s">
        <v>998</v>
      </c>
      <c r="C343" s="10" t="s">
        <v>999</v>
      </c>
      <c r="D343" s="10" t="s">
        <v>1000</v>
      </c>
      <c r="E343" s="8">
        <v>1000.0</v>
      </c>
      <c r="F343" s="15">
        <v>1614.0</v>
      </c>
      <c r="G343" s="13">
        <f>F343*343</f>
        <v>553602</v>
      </c>
      <c r="H343" s="18" t="s">
        <v>14</v>
      </c>
    </row>
    <row r="344" spans="1:8" outlineLevel="1">
      <c r="A344" s="18">
        <v>337</v>
      </c>
      <c r="B344" s="9" t="s">
        <v>1001</v>
      </c>
      <c r="C344" s="10" t="s">
        <v>1002</v>
      </c>
      <c r="D344" s="10" t="s">
        <v>1003</v>
      </c>
      <c r="E344" s="8">
        <v>1000.0</v>
      </c>
      <c r="F344" s="15">
        <v>2193.0</v>
      </c>
      <c r="G344" s="13">
        <f>F344*344</f>
        <v>754392</v>
      </c>
      <c r="H344" s="18" t="s">
        <v>14</v>
      </c>
    </row>
    <row r="345" spans="1:8" outlineLevel="1">
      <c r="A345" s="18">
        <v>338</v>
      </c>
      <c r="B345" s="9" t="s">
        <v>1004</v>
      </c>
      <c r="C345" s="10" t="s">
        <v>1005</v>
      </c>
      <c r="D345" s="10" t="s">
        <v>1006</v>
      </c>
      <c r="E345" s="8">
        <v>1000.0</v>
      </c>
      <c r="F345" s="15">
        <v>2235.0</v>
      </c>
      <c r="G345" s="13">
        <f>F345*345</f>
        <v>771075</v>
      </c>
      <c r="H345" s="18" t="s">
        <v>14</v>
      </c>
    </row>
    <row r="346" spans="1:8" outlineLevel="1">
      <c r="A346" s="18">
        <v>339</v>
      </c>
      <c r="B346" s="9" t="s">
        <v>1007</v>
      </c>
      <c r="C346" s="10" t="s">
        <v>1008</v>
      </c>
      <c r="D346" s="10" t="s">
        <v>1009</v>
      </c>
      <c r="E346" s="8" t="s">
        <v>23</v>
      </c>
      <c r="F346" s="15">
        <v>39049.0</v>
      </c>
      <c r="G346" s="13">
        <f>F346*346</f>
        <v>13510954</v>
      </c>
      <c r="H346" s="18" t="s">
        <v>14</v>
      </c>
    </row>
    <row r="347" spans="1:8" outlineLevel="1">
      <c r="A347" s="18">
        <v>340</v>
      </c>
      <c r="B347" s="9" t="s">
        <v>1010</v>
      </c>
      <c r="C347" s="10" t="s">
        <v>1011</v>
      </c>
      <c r="D347" s="10" t="s">
        <v>1012</v>
      </c>
      <c r="E347" s="8" t="s">
        <v>23</v>
      </c>
      <c r="F347" s="15">
        <v>2409.0</v>
      </c>
      <c r="G347" s="13">
        <f>F347*347</f>
        <v>835923</v>
      </c>
      <c r="H347" s="18" t="s">
        <v>14</v>
      </c>
    </row>
    <row r="348" spans="1:8" outlineLevel="1">
      <c r="A348" s="18">
        <v>341</v>
      </c>
      <c r="B348" s="9" t="s">
        <v>1013</v>
      </c>
      <c r="C348" s="10" t="s">
        <v>1014</v>
      </c>
      <c r="D348" s="10" t="s">
        <v>1015</v>
      </c>
      <c r="E348" s="8" t="s">
        <v>23</v>
      </c>
      <c r="F348" s="15">
        <v>0.0</v>
      </c>
      <c r="G348" s="13">
        <f>F348*348</f>
        <v>0</v>
      </c>
      <c r="H348" s="18" t="s">
        <v>14</v>
      </c>
    </row>
    <row r="349" spans="1:8" outlineLevel="1">
      <c r="A349" s="18">
        <v>342</v>
      </c>
      <c r="B349" s="9" t="s">
        <v>1016</v>
      </c>
      <c r="C349" s="10" t="s">
        <v>1017</v>
      </c>
      <c r="D349" s="10" t="s">
        <v>1018</v>
      </c>
      <c r="E349" s="8" t="s">
        <v>23</v>
      </c>
      <c r="F349" s="15">
        <v>2696.0</v>
      </c>
      <c r="G349" s="13">
        <f>F349*349</f>
        <v>940904</v>
      </c>
      <c r="H349" s="18" t="s">
        <v>14</v>
      </c>
    </row>
    <row r="350" spans="1:8" outlineLevel="1">
      <c r="A350" s="18">
        <v>343</v>
      </c>
      <c r="B350" s="9" t="s">
        <v>1019</v>
      </c>
      <c r="C350" s="10" t="s">
        <v>1020</v>
      </c>
      <c r="D350" s="10" t="s">
        <v>1021</v>
      </c>
      <c r="E350" s="8">
        <v>1000.0</v>
      </c>
      <c r="F350" s="15">
        <v>410.0</v>
      </c>
      <c r="G350" s="13">
        <f>F350*350</f>
        <v>143500</v>
      </c>
      <c r="H350" s="18" t="s">
        <v>14</v>
      </c>
    </row>
    <row r="351" spans="1:8" outlineLevel="1">
      <c r="A351" s="18">
        <v>344</v>
      </c>
      <c r="B351" s="9" t="s">
        <v>1022</v>
      </c>
      <c r="C351" s="10" t="s">
        <v>1023</v>
      </c>
      <c r="D351" s="10" t="s">
        <v>1024</v>
      </c>
      <c r="E351" s="8" t="s">
        <v>23</v>
      </c>
      <c r="F351" s="15">
        <v>5338.0</v>
      </c>
      <c r="G351" s="13">
        <f>F351*351</f>
        <v>1873638</v>
      </c>
      <c r="H351" s="18" t="s">
        <v>14</v>
      </c>
    </row>
    <row r="352" spans="1:8" outlineLevel="1">
      <c r="A352" s="18">
        <v>345</v>
      </c>
      <c r="B352" s="9" t="s">
        <v>1025</v>
      </c>
      <c r="C352" s="10" t="s">
        <v>1026</v>
      </c>
      <c r="D352" s="10" t="s">
        <v>1027</v>
      </c>
      <c r="E352" s="8" t="s">
        <v>23</v>
      </c>
      <c r="F352" s="15">
        <v>324.0</v>
      </c>
      <c r="G352" s="13">
        <f>F352*352</f>
        <v>114048</v>
      </c>
      <c r="H352" s="18" t="s">
        <v>14</v>
      </c>
    </row>
    <row r="353" spans="1:8" outlineLevel="1">
      <c r="A353" s="18">
        <v>346</v>
      </c>
      <c r="B353" s="9" t="s">
        <v>1028</v>
      </c>
      <c r="C353" s="10" t="s">
        <v>1029</v>
      </c>
      <c r="D353" s="10" t="s">
        <v>1030</v>
      </c>
      <c r="E353" s="8" t="s">
        <v>23</v>
      </c>
      <c r="F353" s="15">
        <v>1417.0</v>
      </c>
      <c r="G353" s="13">
        <f>F353*353</f>
        <v>500201</v>
      </c>
      <c r="H353" s="18" t="s">
        <v>14</v>
      </c>
    </row>
    <row r="354" spans="1:8" outlineLevel="1">
      <c r="A354" s="18">
        <v>347</v>
      </c>
      <c r="B354" s="9" t="s">
        <v>1031</v>
      </c>
      <c r="C354" s="10" t="s">
        <v>1032</v>
      </c>
      <c r="D354" s="10" t="s">
        <v>1033</v>
      </c>
      <c r="E354" s="8">
        <v>1000.0</v>
      </c>
      <c r="F354" s="15">
        <v>450.0</v>
      </c>
      <c r="G354" s="13">
        <f>F354*354</f>
        <v>159300</v>
      </c>
      <c r="H354" s="18" t="s">
        <v>14</v>
      </c>
    </row>
    <row r="355" spans="1:8" outlineLevel="1">
      <c r="A355" s="18">
        <v>348</v>
      </c>
      <c r="B355" s="9" t="s">
        <v>1034</v>
      </c>
      <c r="C355" s="10" t="s">
        <v>1035</v>
      </c>
      <c r="D355" s="10" t="s">
        <v>1036</v>
      </c>
      <c r="E355" s="8">
        <v>1000.0</v>
      </c>
      <c r="F355" s="15">
        <v>280.0</v>
      </c>
      <c r="G355" s="13">
        <f>F355*355</f>
        <v>99400</v>
      </c>
      <c r="H355" s="18" t="s">
        <v>14</v>
      </c>
    </row>
    <row r="356" spans="1:8" outlineLevel="1">
      <c r="A356" s="18">
        <v>349</v>
      </c>
      <c r="B356" s="9" t="s">
        <v>1037</v>
      </c>
      <c r="C356" s="10" t="s">
        <v>1038</v>
      </c>
      <c r="D356" s="10" t="s">
        <v>1039</v>
      </c>
      <c r="E356" s="8">
        <v>1000.0</v>
      </c>
      <c r="F356" s="15">
        <v>1461.0</v>
      </c>
      <c r="G356" s="13">
        <f>F356*356</f>
        <v>520116</v>
      </c>
      <c r="H356" s="18" t="s">
        <v>14</v>
      </c>
    </row>
    <row r="357" spans="1:8" outlineLevel="1">
      <c r="A357" s="18">
        <v>350</v>
      </c>
      <c r="B357" s="9" t="s">
        <v>1040</v>
      </c>
      <c r="C357" s="10" t="s">
        <v>1041</v>
      </c>
      <c r="D357" s="10" t="s">
        <v>1042</v>
      </c>
      <c r="E357" s="8">
        <v>1000.0</v>
      </c>
      <c r="F357" s="15">
        <v>350.0</v>
      </c>
      <c r="G357" s="13">
        <f>F357*357</f>
        <v>124950</v>
      </c>
      <c r="H357" s="18" t="s">
        <v>14</v>
      </c>
    </row>
    <row r="358" spans="1:8" outlineLevel="1">
      <c r="A358" s="18">
        <v>351</v>
      </c>
      <c r="B358" s="9" t="s">
        <v>1043</v>
      </c>
      <c r="C358" s="10" t="s">
        <v>1044</v>
      </c>
      <c r="D358" s="10" t="s">
        <v>1045</v>
      </c>
      <c r="E358" s="8" t="s">
        <v>23</v>
      </c>
      <c r="F358" s="15">
        <v>194.0</v>
      </c>
      <c r="G358" s="13">
        <f>F358*358</f>
        <v>69452</v>
      </c>
      <c r="H358" s="18" t="s">
        <v>14</v>
      </c>
    </row>
    <row r="359" spans="1:8" outlineLevel="1">
      <c r="A359" s="18">
        <v>352</v>
      </c>
      <c r="B359" s="9" t="s">
        <v>1046</v>
      </c>
      <c r="C359" s="10" t="s">
        <v>1047</v>
      </c>
      <c r="D359" s="10" t="s">
        <v>1048</v>
      </c>
      <c r="E359" s="8" t="s">
        <v>23</v>
      </c>
      <c r="F359" s="15">
        <v>326.0</v>
      </c>
      <c r="G359" s="13">
        <f>F359*359</f>
        <v>117034</v>
      </c>
      <c r="H359" s="18" t="s">
        <v>14</v>
      </c>
    </row>
    <row r="360" spans="1:8" outlineLevel="1">
      <c r="A360" s="18">
        <v>353</v>
      </c>
      <c r="B360" s="9" t="s">
        <v>1049</v>
      </c>
      <c r="C360" s="10" t="s">
        <v>1050</v>
      </c>
      <c r="D360" s="10" t="s">
        <v>1051</v>
      </c>
      <c r="E360" s="8" t="s">
        <v>23</v>
      </c>
      <c r="F360" s="15">
        <v>661.0</v>
      </c>
      <c r="G360" s="13">
        <f>F360*360</f>
        <v>237960</v>
      </c>
      <c r="H360" s="18" t="s">
        <v>14</v>
      </c>
    </row>
    <row r="361" spans="1:8" outlineLevel="1">
      <c r="A361" s="18">
        <v>354</v>
      </c>
      <c r="B361" s="9" t="s">
        <v>1052</v>
      </c>
      <c r="C361" s="10" t="s">
        <v>1053</v>
      </c>
      <c r="D361" s="10" t="s">
        <v>1054</v>
      </c>
      <c r="E361" s="8" t="s">
        <v>23</v>
      </c>
      <c r="F361" s="15">
        <v>192.0</v>
      </c>
      <c r="G361" s="13">
        <f>F361*361</f>
        <v>69312</v>
      </c>
      <c r="H361" s="18" t="s">
        <v>14</v>
      </c>
    </row>
    <row r="362" spans="1:8" outlineLevel="1">
      <c r="A362" s="18">
        <v>355</v>
      </c>
      <c r="B362" s="9" t="s">
        <v>1055</v>
      </c>
      <c r="C362" s="10" t="s">
        <v>1056</v>
      </c>
      <c r="D362" s="10" t="s">
        <v>1057</v>
      </c>
      <c r="E362" s="8" t="s">
        <v>23</v>
      </c>
      <c r="F362" s="15">
        <v>220.0</v>
      </c>
      <c r="G362" s="13">
        <f>F362*362</f>
        <v>79640</v>
      </c>
      <c r="H362" s="18" t="s">
        <v>14</v>
      </c>
    </row>
    <row r="363" spans="1:8" outlineLevel="1">
      <c r="A363" s="18">
        <v>356</v>
      </c>
      <c r="B363" s="9" t="s">
        <v>1058</v>
      </c>
      <c r="C363" s="10" t="s">
        <v>1059</v>
      </c>
      <c r="D363" s="10" t="s">
        <v>1060</v>
      </c>
      <c r="E363" s="8" t="s">
        <v>23</v>
      </c>
      <c r="F363" s="15">
        <v>0.0</v>
      </c>
      <c r="G363" s="13">
        <f>F363*363</f>
        <v>0</v>
      </c>
      <c r="H363" s="18" t="s">
        <v>14</v>
      </c>
    </row>
    <row r="364" spans="1:8" outlineLevel="1">
      <c r="A364" s="18">
        <v>357</v>
      </c>
      <c r="B364" s="9" t="s">
        <v>1061</v>
      </c>
      <c r="C364" s="10" t="s">
        <v>1062</v>
      </c>
      <c r="D364" s="10" t="s">
        <v>1063</v>
      </c>
      <c r="E364" s="8" t="s">
        <v>23</v>
      </c>
      <c r="F364" s="15">
        <v>5786.0</v>
      </c>
      <c r="G364" s="13">
        <f>F364*364</f>
        <v>2106104</v>
      </c>
      <c r="H364" s="18" t="s">
        <v>14</v>
      </c>
    </row>
    <row r="365" spans="1:8" outlineLevel="1">
      <c r="A365" s="18">
        <v>358</v>
      </c>
      <c r="B365" s="9" t="s">
        <v>1064</v>
      </c>
      <c r="C365" s="10" t="s">
        <v>1065</v>
      </c>
      <c r="D365" s="10" t="s">
        <v>1066</v>
      </c>
      <c r="E365" s="8" t="s">
        <v>23</v>
      </c>
      <c r="F365" s="15">
        <v>9216.0</v>
      </c>
      <c r="G365" s="13">
        <f>F365*365</f>
        <v>3363840</v>
      </c>
      <c r="H365" s="18" t="s">
        <v>14</v>
      </c>
    </row>
    <row r="366" spans="1:8" outlineLevel="1">
      <c r="A366" s="18">
        <v>359</v>
      </c>
      <c r="B366" s="9" t="s">
        <v>1067</v>
      </c>
      <c r="C366" s="10" t="s">
        <v>1068</v>
      </c>
      <c r="D366" s="10" t="s">
        <v>1069</v>
      </c>
      <c r="E366" s="8">
        <v>1000.0</v>
      </c>
      <c r="F366" s="15">
        <v>6331.0</v>
      </c>
      <c r="G366" s="13">
        <f>F366*366</f>
        <v>2317146</v>
      </c>
      <c r="H366" s="18" t="s">
        <v>14</v>
      </c>
    </row>
    <row r="367" spans="1:8" outlineLevel="1">
      <c r="A367" s="18">
        <v>360</v>
      </c>
      <c r="B367" s="9" t="s">
        <v>1070</v>
      </c>
      <c r="C367" s="10" t="s">
        <v>1071</v>
      </c>
      <c r="D367" s="10" t="s">
        <v>1072</v>
      </c>
      <c r="E367" s="8" t="s">
        <v>23</v>
      </c>
      <c r="F367" s="15">
        <v>2135.0</v>
      </c>
      <c r="G367" s="13">
        <f>F367*367</f>
        <v>783545</v>
      </c>
      <c r="H367" s="18" t="s">
        <v>14</v>
      </c>
    </row>
    <row r="368" spans="1:8" outlineLevel="1">
      <c r="A368" s="18">
        <v>361</v>
      </c>
      <c r="B368" s="9" t="s">
        <v>1073</v>
      </c>
      <c r="C368" s="10" t="s">
        <v>1074</v>
      </c>
      <c r="D368" s="10" t="s">
        <v>1075</v>
      </c>
      <c r="E368" s="8" t="s">
        <v>23</v>
      </c>
      <c r="F368" s="15">
        <v>2234.0</v>
      </c>
      <c r="G368" s="13">
        <f>F368*368</f>
        <v>822112</v>
      </c>
      <c r="H368" s="18" t="s">
        <v>14</v>
      </c>
    </row>
    <row r="369" spans="1:8" outlineLevel="1">
      <c r="A369" s="18">
        <v>362</v>
      </c>
      <c r="B369" s="9" t="s">
        <v>1076</v>
      </c>
      <c r="C369" s="10" t="s">
        <v>1077</v>
      </c>
      <c r="D369" s="10" t="s">
        <v>1078</v>
      </c>
      <c r="E369" s="8" t="s">
        <v>23</v>
      </c>
      <c r="F369" s="15">
        <v>5141.0</v>
      </c>
      <c r="G369" s="13">
        <f>F369*369</f>
        <v>1897029</v>
      </c>
      <c r="H369" s="18" t="s">
        <v>14</v>
      </c>
    </row>
    <row r="370" spans="1:8" outlineLevel="1">
      <c r="A370" s="18">
        <v>363</v>
      </c>
      <c r="B370" s="9" t="s">
        <v>1079</v>
      </c>
      <c r="C370" s="10" t="s">
        <v>1080</v>
      </c>
      <c r="D370" s="10" t="s">
        <v>1081</v>
      </c>
      <c r="E370" s="8" t="s">
        <v>23</v>
      </c>
      <c r="F370" s="15">
        <v>7367.0</v>
      </c>
      <c r="G370" s="13">
        <f>F370*370</f>
        <v>2725790</v>
      </c>
      <c r="H370" s="18" t="s">
        <v>14</v>
      </c>
    </row>
    <row r="371" spans="1:8" outlineLevel="1">
      <c r="A371" s="18">
        <v>364</v>
      </c>
      <c r="B371" s="9"/>
      <c r="C371" s="10" t="s">
        <v>1082</v>
      </c>
      <c r="D371" s="10" t="s">
        <v>1083</v>
      </c>
      <c r="E371" s="8">
        <v>1000.0</v>
      </c>
      <c r="F371" s="15">
        <v>0.0</v>
      </c>
      <c r="G371" s="13">
        <f>F371*371</f>
        <v>0</v>
      </c>
      <c r="H371" s="18" t="s">
        <v>14</v>
      </c>
    </row>
    <row r="372" spans="1:8" outlineLevel="1">
      <c r="A372" s="18">
        <v>365</v>
      </c>
      <c r="B372" s="9" t="s">
        <v>1084</v>
      </c>
      <c r="C372" s="10" t="s">
        <v>1085</v>
      </c>
      <c r="D372" s="10" t="s">
        <v>1086</v>
      </c>
      <c r="E372" s="8">
        <v>1000.0</v>
      </c>
      <c r="F372" s="15">
        <v>92495.0</v>
      </c>
      <c r="G372" s="13">
        <f>F372*372</f>
        <v>34408140</v>
      </c>
      <c r="H372" s="18" t="s">
        <v>14</v>
      </c>
    </row>
    <row r="373" spans="1:8" outlineLevel="1">
      <c r="A373" s="18">
        <v>366</v>
      </c>
      <c r="B373" s="9" t="s">
        <v>1087</v>
      </c>
      <c r="C373" s="10" t="s">
        <v>1088</v>
      </c>
      <c r="D373" s="10" t="s">
        <v>1089</v>
      </c>
      <c r="E373" s="8" t="s">
        <v>23</v>
      </c>
      <c r="F373" s="15">
        <v>4630.0</v>
      </c>
      <c r="G373" s="13">
        <f>F373*373</f>
        <v>1726990</v>
      </c>
      <c r="H373" s="18" t="s">
        <v>14</v>
      </c>
    </row>
    <row r="374" spans="1:8" outlineLevel="1">
      <c r="A374" s="18">
        <v>367</v>
      </c>
      <c r="B374" s="9" t="s">
        <v>1090</v>
      </c>
      <c r="C374" s="10" t="s">
        <v>1091</v>
      </c>
      <c r="D374" s="10" t="s">
        <v>1092</v>
      </c>
      <c r="E374" s="8" t="s">
        <v>23</v>
      </c>
      <c r="F374" s="15">
        <v>2996.0</v>
      </c>
      <c r="G374" s="13">
        <f>F374*374</f>
        <v>1120504</v>
      </c>
      <c r="H374" s="18" t="s">
        <v>14</v>
      </c>
    </row>
    <row r="375" spans="1:8" outlineLevel="1">
      <c r="A375" s="18">
        <v>368</v>
      </c>
      <c r="B375" s="9" t="s">
        <v>1093</v>
      </c>
      <c r="C375" s="10" t="s">
        <v>1094</v>
      </c>
      <c r="D375" s="10" t="s">
        <v>1095</v>
      </c>
      <c r="E375" s="8" t="s">
        <v>23</v>
      </c>
      <c r="F375" s="15">
        <v>8921.0</v>
      </c>
      <c r="G375" s="13">
        <f>F375*375</f>
        <v>3345375</v>
      </c>
      <c r="H375" s="18" t="s">
        <v>14</v>
      </c>
    </row>
    <row r="376" spans="1:8" outlineLevel="1">
      <c r="A376" s="18">
        <v>369</v>
      </c>
      <c r="B376" s="9" t="s">
        <v>1096</v>
      </c>
      <c r="C376" s="10" t="s">
        <v>1097</v>
      </c>
      <c r="D376" s="10" t="s">
        <v>1098</v>
      </c>
      <c r="E376" s="8" t="s">
        <v>23</v>
      </c>
      <c r="F376" s="15">
        <v>5374.0</v>
      </c>
      <c r="G376" s="13">
        <f>F376*376</f>
        <v>2020624</v>
      </c>
      <c r="H376" s="18" t="s">
        <v>14</v>
      </c>
    </row>
    <row r="377" spans="1:8" outlineLevel="1">
      <c r="A377" s="18">
        <v>370</v>
      </c>
      <c r="B377" s="9" t="s">
        <v>1099</v>
      </c>
      <c r="C377" s="10" t="s">
        <v>1100</v>
      </c>
      <c r="D377" s="10" t="s">
        <v>1101</v>
      </c>
      <c r="E377" s="8" t="s">
        <v>23</v>
      </c>
      <c r="F377" s="15">
        <v>16022.0</v>
      </c>
      <c r="G377" s="13">
        <f>F377*377</f>
        <v>6040294</v>
      </c>
      <c r="H377" s="18" t="s">
        <v>14</v>
      </c>
    </row>
    <row r="378" spans="1:8" outlineLevel="1">
      <c r="A378" s="18">
        <v>371</v>
      </c>
      <c r="B378" s="9" t="s">
        <v>1102</v>
      </c>
      <c r="C378" s="10" t="s">
        <v>1103</v>
      </c>
      <c r="D378" s="10" t="s">
        <v>1104</v>
      </c>
      <c r="E378" s="8" t="s">
        <v>23</v>
      </c>
      <c r="F378" s="15">
        <v>36096.0</v>
      </c>
      <c r="G378" s="13">
        <f>F378*378</f>
        <v>13644288</v>
      </c>
      <c r="H378" s="18" t="s">
        <v>14</v>
      </c>
    </row>
    <row r="379" spans="1:8" outlineLevel="1">
      <c r="A379" s="18">
        <v>372</v>
      </c>
      <c r="B379" s="9" t="s">
        <v>1105</v>
      </c>
      <c r="C379" s="10" t="s">
        <v>1106</v>
      </c>
      <c r="D379" s="10" t="s">
        <v>1107</v>
      </c>
      <c r="E379" s="8" t="s">
        <v>23</v>
      </c>
      <c r="F379" s="15">
        <v>375.0</v>
      </c>
      <c r="G379" s="13">
        <f>F379*379</f>
        <v>142125</v>
      </c>
      <c r="H379" s="18" t="s">
        <v>14</v>
      </c>
    </row>
    <row r="380" spans="1:8" outlineLevel="1">
      <c r="A380" s="18">
        <v>373</v>
      </c>
      <c r="B380" s="9" t="s">
        <v>1108</v>
      </c>
      <c r="C380" s="10" t="s">
        <v>1109</v>
      </c>
      <c r="D380" s="10" t="s">
        <v>1110</v>
      </c>
      <c r="E380" s="8" t="s">
        <v>23</v>
      </c>
      <c r="F380" s="15">
        <v>6577.0</v>
      </c>
      <c r="G380" s="13">
        <f>F380*380</f>
        <v>2499260</v>
      </c>
      <c r="H380" s="18" t="s">
        <v>14</v>
      </c>
    </row>
    <row r="381" spans="1:8" outlineLevel="1">
      <c r="A381" s="18">
        <v>374</v>
      </c>
      <c r="B381" s="9" t="s">
        <v>1111</v>
      </c>
      <c r="C381" s="10" t="s">
        <v>1112</v>
      </c>
      <c r="D381" s="10" t="s">
        <v>1113</v>
      </c>
      <c r="E381" s="8" t="s">
        <v>23</v>
      </c>
      <c r="F381" s="15">
        <v>1417.0</v>
      </c>
      <c r="G381" s="13">
        <f>F381*381</f>
        <v>539877</v>
      </c>
      <c r="H381" s="18" t="s">
        <v>14</v>
      </c>
    </row>
    <row r="382" spans="1:8" outlineLevel="1">
      <c r="A382" s="18">
        <v>375</v>
      </c>
      <c r="B382" s="9" t="s">
        <v>1114</v>
      </c>
      <c r="C382" s="10" t="s">
        <v>1115</v>
      </c>
      <c r="D382" s="10" t="s">
        <v>1116</v>
      </c>
      <c r="E382" s="8" t="s">
        <v>23</v>
      </c>
      <c r="F382" s="15">
        <v>476.0</v>
      </c>
      <c r="G382" s="13">
        <f>F382*382</f>
        <v>181832</v>
      </c>
      <c r="H382" s="18" t="s">
        <v>14</v>
      </c>
    </row>
    <row r="383" spans="1:8" outlineLevel="1">
      <c r="A383" s="18">
        <v>376</v>
      </c>
      <c r="B383" s="9" t="s">
        <v>1117</v>
      </c>
      <c r="C383" s="10" t="s">
        <v>1118</v>
      </c>
      <c r="D383" s="10" t="s">
        <v>1119</v>
      </c>
      <c r="E383" s="8" t="s">
        <v>23</v>
      </c>
      <c r="F383" s="15">
        <v>740.0</v>
      </c>
      <c r="G383" s="13">
        <f>F383*383</f>
        <v>283420</v>
      </c>
      <c r="H383" s="18" t="s">
        <v>14</v>
      </c>
    </row>
    <row r="384" spans="1:8" outlineLevel="1">
      <c r="A384" s="18">
        <v>377</v>
      </c>
      <c r="B384" s="9" t="s">
        <v>1120</v>
      </c>
      <c r="C384" s="10" t="s">
        <v>1121</v>
      </c>
      <c r="D384" s="10" t="s">
        <v>1122</v>
      </c>
      <c r="E384" s="8" t="s">
        <v>23</v>
      </c>
      <c r="F384" s="15">
        <v>485.0</v>
      </c>
      <c r="G384" s="13">
        <f>F384*384</f>
        <v>186240</v>
      </c>
      <c r="H384" s="18" t="s">
        <v>14</v>
      </c>
    </row>
    <row r="385" spans="1:8" outlineLevel="1">
      <c r="A385" s="18">
        <v>378</v>
      </c>
      <c r="B385" s="9" t="s">
        <v>1123</v>
      </c>
      <c r="C385" s="10" t="s">
        <v>1124</v>
      </c>
      <c r="D385" s="10" t="s">
        <v>1125</v>
      </c>
      <c r="E385" s="8" t="s">
        <v>23</v>
      </c>
      <c r="F385" s="15">
        <v>412.0</v>
      </c>
      <c r="G385" s="13">
        <f>F385*385</f>
        <v>158620</v>
      </c>
      <c r="H385" s="18" t="s">
        <v>14</v>
      </c>
    </row>
    <row r="386" spans="1:8" outlineLevel="1">
      <c r="A386" s="18">
        <v>379</v>
      </c>
      <c r="B386" s="9" t="s">
        <v>1126</v>
      </c>
      <c r="C386" s="10" t="s">
        <v>1127</v>
      </c>
      <c r="D386" s="10" t="s">
        <v>1128</v>
      </c>
      <c r="E386" s="8" t="s">
        <v>23</v>
      </c>
      <c r="F386" s="15">
        <v>243.0</v>
      </c>
      <c r="G386" s="13">
        <f>F386*386</f>
        <v>93798</v>
      </c>
      <c r="H386" s="18" t="s">
        <v>14</v>
      </c>
    </row>
    <row r="387" spans="1:8" outlineLevel="1">
      <c r="A387" s="18">
        <v>380</v>
      </c>
      <c r="B387" s="9" t="s">
        <v>1129</v>
      </c>
      <c r="C387" s="10" t="s">
        <v>1130</v>
      </c>
      <c r="D387" s="10" t="s">
        <v>1131</v>
      </c>
      <c r="E387" s="8" t="s">
        <v>23</v>
      </c>
      <c r="F387" s="15">
        <v>175.0</v>
      </c>
      <c r="G387" s="13">
        <f>F387*387</f>
        <v>67725</v>
      </c>
      <c r="H387" s="18" t="s">
        <v>14</v>
      </c>
    </row>
    <row r="388" spans="1:8" outlineLevel="1">
      <c r="A388" s="18">
        <v>381</v>
      </c>
      <c r="B388" s="9" t="s">
        <v>1132</v>
      </c>
      <c r="C388" s="10" t="s">
        <v>1133</v>
      </c>
      <c r="D388" s="10" t="s">
        <v>1134</v>
      </c>
      <c r="E388" s="8" t="s">
        <v>23</v>
      </c>
      <c r="F388" s="15">
        <v>599.0</v>
      </c>
      <c r="G388" s="13">
        <f>F388*388</f>
        <v>232412</v>
      </c>
      <c r="H388" s="18" t="s">
        <v>14</v>
      </c>
    </row>
    <row r="389" spans="1:8" outlineLevel="1">
      <c r="A389" s="18">
        <v>382</v>
      </c>
      <c r="B389" s="9" t="s">
        <v>1135</v>
      </c>
      <c r="C389" s="10" t="s">
        <v>1136</v>
      </c>
      <c r="D389" s="10" t="s">
        <v>1137</v>
      </c>
      <c r="E389" s="8">
        <v>1000.0</v>
      </c>
      <c r="F389" s="15">
        <v>1789.0</v>
      </c>
      <c r="G389" s="13">
        <f>F389*389</f>
        <v>695921</v>
      </c>
      <c r="H389" s="18" t="s">
        <v>14</v>
      </c>
    </row>
    <row r="390" spans="1:8" outlineLevel="1">
      <c r="A390" s="18">
        <v>383</v>
      </c>
      <c r="B390" s="9" t="s">
        <v>1138</v>
      </c>
      <c r="C390" s="10" t="s">
        <v>1139</v>
      </c>
      <c r="D390" s="10" t="s">
        <v>1140</v>
      </c>
      <c r="E390" s="8" t="s">
        <v>23</v>
      </c>
      <c r="F390" s="15">
        <v>307.0</v>
      </c>
      <c r="G390" s="13">
        <f>F390*390</f>
        <v>119730</v>
      </c>
      <c r="H390" s="18" t="s">
        <v>14</v>
      </c>
    </row>
    <row r="391" spans="1:8" outlineLevel="1">
      <c r="A391" s="18">
        <v>384</v>
      </c>
      <c r="B391" s="9" t="s">
        <v>1141</v>
      </c>
      <c r="C391" s="10" t="s">
        <v>1142</v>
      </c>
      <c r="D391" s="10" t="s">
        <v>1143</v>
      </c>
      <c r="E391" s="8">
        <v>1000.0</v>
      </c>
      <c r="F391" s="15">
        <v>357.0</v>
      </c>
      <c r="G391" s="13">
        <f>F391*391</f>
        <v>139587</v>
      </c>
      <c r="H391" s="18" t="s">
        <v>14</v>
      </c>
    </row>
    <row r="392" spans="1:8" outlineLevel="1">
      <c r="A392" s="18">
        <v>385</v>
      </c>
      <c r="B392" s="9" t="s">
        <v>1144</v>
      </c>
      <c r="C392" s="10" t="s">
        <v>1145</v>
      </c>
      <c r="D392" s="10" t="s">
        <v>1146</v>
      </c>
      <c r="E392" s="8" t="s">
        <v>23</v>
      </c>
      <c r="F392" s="15">
        <v>252.0</v>
      </c>
      <c r="G392" s="13">
        <f>F392*392</f>
        <v>98784</v>
      </c>
      <c r="H392" s="18" t="s">
        <v>14</v>
      </c>
    </row>
    <row r="393" spans="1:8" outlineLevel="1">
      <c r="A393" s="18">
        <v>386</v>
      </c>
      <c r="B393" s="9" t="s">
        <v>1147</v>
      </c>
      <c r="C393" s="10" t="s">
        <v>1148</v>
      </c>
      <c r="D393" s="10" t="s">
        <v>1149</v>
      </c>
      <c r="E393" s="8" t="s">
        <v>23</v>
      </c>
      <c r="F393" s="15">
        <v>2822.0</v>
      </c>
      <c r="G393" s="13">
        <f>F393*393</f>
        <v>1109046</v>
      </c>
      <c r="H393" s="18" t="s">
        <v>14</v>
      </c>
    </row>
    <row r="394" spans="1:8" outlineLevel="1">
      <c r="A394" s="18">
        <v>387</v>
      </c>
      <c r="B394" s="9" t="s">
        <v>1150</v>
      </c>
      <c r="C394" s="10" t="s">
        <v>1151</v>
      </c>
      <c r="D394" s="10" t="s">
        <v>1152</v>
      </c>
      <c r="E394" s="8">
        <v>1000.0</v>
      </c>
      <c r="F394" s="15">
        <v>369.0</v>
      </c>
      <c r="G394" s="13">
        <f>F394*394</f>
        <v>145386</v>
      </c>
      <c r="H394" s="18" t="s">
        <v>14</v>
      </c>
    </row>
    <row r="395" spans="1:8" outlineLevel="1">
      <c r="A395" s="18">
        <v>388</v>
      </c>
      <c r="B395" s="9" t="s">
        <v>1153</v>
      </c>
      <c r="C395" s="10" t="s">
        <v>1154</v>
      </c>
      <c r="D395" s="10" t="s">
        <v>1155</v>
      </c>
      <c r="E395" s="8" t="s">
        <v>23</v>
      </c>
      <c r="F395" s="15">
        <v>185.0</v>
      </c>
      <c r="G395" s="13">
        <f>F395*395</f>
        <v>73075</v>
      </c>
      <c r="H395" s="18" t="s">
        <v>14</v>
      </c>
    </row>
    <row r="396" spans="1:8" outlineLevel="1">
      <c r="A396" s="18">
        <v>389</v>
      </c>
      <c r="B396" s="9" t="s">
        <v>1156</v>
      </c>
      <c r="C396" s="10" t="s">
        <v>1157</v>
      </c>
      <c r="D396" s="10" t="s">
        <v>1158</v>
      </c>
      <c r="E396" s="8" t="s">
        <v>23</v>
      </c>
      <c r="F396" s="15">
        <v>167.0</v>
      </c>
      <c r="G396" s="13">
        <f>F396*396</f>
        <v>66132</v>
      </c>
      <c r="H396" s="18" t="s">
        <v>14</v>
      </c>
    </row>
    <row r="397" spans="1:8" outlineLevel="1">
      <c r="A397" s="18">
        <v>390</v>
      </c>
      <c r="B397" s="9" t="s">
        <v>1159</v>
      </c>
      <c r="C397" s="10" t="s">
        <v>1160</v>
      </c>
      <c r="D397" s="10" t="s">
        <v>1161</v>
      </c>
      <c r="E397" s="8" t="s">
        <v>23</v>
      </c>
      <c r="F397" s="15">
        <v>288.0</v>
      </c>
      <c r="G397" s="13">
        <f>F397*397</f>
        <v>114336</v>
      </c>
      <c r="H397" s="18" t="s">
        <v>14</v>
      </c>
    </row>
    <row r="398" spans="1:8" outlineLevel="1">
      <c r="A398" s="18">
        <v>391</v>
      </c>
      <c r="B398" s="9" t="s">
        <v>1162</v>
      </c>
      <c r="C398" s="10" t="s">
        <v>1163</v>
      </c>
      <c r="D398" s="10" t="s">
        <v>1164</v>
      </c>
      <c r="E398" s="8" t="s">
        <v>23</v>
      </c>
      <c r="F398" s="15">
        <v>146.0</v>
      </c>
      <c r="G398" s="13">
        <f>F398*398</f>
        <v>58108</v>
      </c>
      <c r="H398" s="18" t="s">
        <v>14</v>
      </c>
    </row>
    <row r="399" spans="1:8" outlineLevel="1">
      <c r="A399" s="18">
        <v>392</v>
      </c>
      <c r="B399" s="9" t="s">
        <v>1165</v>
      </c>
      <c r="C399" s="10" t="s">
        <v>1166</v>
      </c>
      <c r="D399" s="10" t="s">
        <v>1167</v>
      </c>
      <c r="E399" s="8">
        <v>1000.0</v>
      </c>
      <c r="F399" s="15">
        <v>2611.0</v>
      </c>
      <c r="G399" s="13">
        <f>F399*399</f>
        <v>1041789</v>
      </c>
      <c r="H399" s="18" t="s">
        <v>14</v>
      </c>
    </row>
    <row r="400" spans="1:8" outlineLevel="1">
      <c r="A400" s="18">
        <v>393</v>
      </c>
      <c r="B400" s="9" t="s">
        <v>1168</v>
      </c>
      <c r="C400" s="10" t="s">
        <v>1169</v>
      </c>
      <c r="D400" s="10" t="s">
        <v>1170</v>
      </c>
      <c r="E400" s="8">
        <v>1000.0</v>
      </c>
      <c r="F400" s="15">
        <v>3916.0</v>
      </c>
      <c r="G400" s="13">
        <f>F400*400</f>
        <v>1566400</v>
      </c>
      <c r="H400" s="18" t="s">
        <v>14</v>
      </c>
    </row>
    <row r="401" spans="1:8" outlineLevel="1">
      <c r="A401" s="18">
        <v>394</v>
      </c>
      <c r="B401" s="9" t="s">
        <v>1171</v>
      </c>
      <c r="C401" s="10" t="s">
        <v>1172</v>
      </c>
      <c r="D401" s="10" t="s">
        <v>1173</v>
      </c>
      <c r="E401" s="8" t="s">
        <v>23</v>
      </c>
      <c r="F401" s="15">
        <v>1136.0</v>
      </c>
      <c r="G401" s="13">
        <f>F401*401</f>
        <v>455536</v>
      </c>
      <c r="H401" s="18" t="s">
        <v>14</v>
      </c>
    </row>
    <row r="402" spans="1:8" outlineLevel="1">
      <c r="A402" s="18">
        <v>395</v>
      </c>
      <c r="B402" s="9" t="s">
        <v>1174</v>
      </c>
      <c r="C402" s="10" t="s">
        <v>1175</v>
      </c>
      <c r="D402" s="10" t="s">
        <v>1176</v>
      </c>
      <c r="E402" s="8" t="s">
        <v>23</v>
      </c>
      <c r="F402" s="15">
        <v>8293.0</v>
      </c>
      <c r="G402" s="13">
        <f>F402*402</f>
        <v>3333786</v>
      </c>
      <c r="H402" s="18" t="s">
        <v>14</v>
      </c>
    </row>
    <row r="403" spans="1:8" outlineLevel="1">
      <c r="A403" s="18">
        <v>396</v>
      </c>
      <c r="B403" s="9" t="s">
        <v>1177</v>
      </c>
      <c r="C403" s="10" t="s">
        <v>1178</v>
      </c>
      <c r="D403" s="10" t="s">
        <v>1179</v>
      </c>
      <c r="E403" s="8" t="s">
        <v>23</v>
      </c>
      <c r="F403" s="15">
        <v>8056.0</v>
      </c>
      <c r="G403" s="13">
        <f>F403*403</f>
        <v>3246568</v>
      </c>
      <c r="H403" s="18" t="s">
        <v>14</v>
      </c>
    </row>
    <row r="404" spans="1:8" outlineLevel="1">
      <c r="A404" s="18">
        <v>397</v>
      </c>
      <c r="B404" s="9" t="s">
        <v>1180</v>
      </c>
      <c r="C404" s="10" t="s">
        <v>1181</v>
      </c>
      <c r="D404" s="10" t="s">
        <v>1182</v>
      </c>
      <c r="E404" s="8" t="s">
        <v>23</v>
      </c>
      <c r="F404" s="15">
        <v>16918.0</v>
      </c>
      <c r="G404" s="13">
        <f>F404*404</f>
        <v>6834872</v>
      </c>
      <c r="H404" s="18" t="s">
        <v>14</v>
      </c>
    </row>
    <row r="405" spans="1:8" outlineLevel="1">
      <c r="A405" s="18">
        <v>398</v>
      </c>
      <c r="B405" s="9" t="s">
        <v>1183</v>
      </c>
      <c r="C405" s="10" t="s">
        <v>1184</v>
      </c>
      <c r="D405" s="10" t="s">
        <v>1185</v>
      </c>
      <c r="E405" s="8" t="s">
        <v>23</v>
      </c>
      <c r="F405" s="15">
        <v>22768.0</v>
      </c>
      <c r="G405" s="13">
        <f>F405*405</f>
        <v>9221040</v>
      </c>
      <c r="H405" s="18" t="s">
        <v>14</v>
      </c>
    </row>
    <row r="406" spans="1:8" outlineLevel="1">
      <c r="A406" s="18">
        <v>399</v>
      </c>
      <c r="B406" s="9" t="s">
        <v>1186</v>
      </c>
      <c r="C406" s="10" t="s">
        <v>1187</v>
      </c>
      <c r="D406" s="10" t="s">
        <v>1188</v>
      </c>
      <c r="E406" s="8" t="s">
        <v>23</v>
      </c>
      <c r="F406" s="15">
        <v>0.0</v>
      </c>
      <c r="G406" s="13">
        <f>F406*406</f>
        <v>0</v>
      </c>
      <c r="H406" s="18" t="s">
        <v>14</v>
      </c>
    </row>
    <row r="407" spans="1:8" outlineLevel="1">
      <c r="A407" s="18">
        <v>400</v>
      </c>
      <c r="B407" s="9" t="s">
        <v>1189</v>
      </c>
      <c r="C407" s="10" t="s">
        <v>1190</v>
      </c>
      <c r="D407" s="10" t="s">
        <v>1191</v>
      </c>
      <c r="E407" s="8" t="s">
        <v>23</v>
      </c>
      <c r="F407" s="15">
        <v>7070.0</v>
      </c>
      <c r="G407" s="13">
        <f>F407*407</f>
        <v>2877490</v>
      </c>
      <c r="H407" s="18" t="s">
        <v>14</v>
      </c>
    </row>
    <row r="408" spans="1:8" outlineLevel="1">
      <c r="A408" s="18">
        <v>401</v>
      </c>
      <c r="B408" s="9" t="s">
        <v>1192</v>
      </c>
      <c r="C408" s="10" t="s">
        <v>1193</v>
      </c>
      <c r="D408" s="10" t="s">
        <v>1194</v>
      </c>
      <c r="E408" s="8" t="s">
        <v>23</v>
      </c>
      <c r="F408" s="15">
        <v>43525.0</v>
      </c>
      <c r="G408" s="13">
        <f>F408*408</f>
        <v>17758200</v>
      </c>
      <c r="H408" s="18" t="s">
        <v>14</v>
      </c>
    </row>
    <row r="409" spans="1:8" outlineLevel="1">
      <c r="A409" s="18">
        <v>402</v>
      </c>
      <c r="B409" s="9" t="s">
        <v>1195</v>
      </c>
      <c r="C409" s="10" t="s">
        <v>1196</v>
      </c>
      <c r="D409" s="10" t="s">
        <v>1197</v>
      </c>
      <c r="E409" s="8" t="s">
        <v>23</v>
      </c>
      <c r="F409" s="15">
        <v>12410.0</v>
      </c>
      <c r="G409" s="13">
        <f>F409*409</f>
        <v>5075690</v>
      </c>
      <c r="H409" s="18" t="s">
        <v>14</v>
      </c>
    </row>
    <row r="410" spans="1:8" outlineLevel="1">
      <c r="A410" s="18">
        <v>403</v>
      </c>
      <c r="B410" s="9" t="s">
        <v>1198</v>
      </c>
      <c r="C410" s="10" t="s">
        <v>1199</v>
      </c>
      <c r="D410" s="10" t="s">
        <v>1200</v>
      </c>
      <c r="E410" s="8" t="s">
        <v>23</v>
      </c>
      <c r="F410" s="15">
        <v>16769.0</v>
      </c>
      <c r="G410" s="13">
        <f>F410*410</f>
        <v>6875290</v>
      </c>
      <c r="H410" s="18" t="s">
        <v>14</v>
      </c>
    </row>
    <row r="411" spans="1:8" outlineLevel="1">
      <c r="A411" s="18">
        <v>404</v>
      </c>
      <c r="B411" s="9" t="s">
        <v>1201</v>
      </c>
      <c r="C411" s="10" t="s">
        <v>1202</v>
      </c>
      <c r="D411" s="10" t="s">
        <v>1203</v>
      </c>
      <c r="E411" s="8" t="s">
        <v>23</v>
      </c>
      <c r="F411" s="15">
        <v>4921.0</v>
      </c>
      <c r="G411" s="13">
        <f>F411*411</f>
        <v>2022531</v>
      </c>
      <c r="H411" s="18" t="s">
        <v>14</v>
      </c>
    </row>
    <row r="412" spans="1:8" outlineLevel="1">
      <c r="A412" s="18">
        <v>405</v>
      </c>
      <c r="B412" s="9" t="s">
        <v>1204</v>
      </c>
      <c r="C412" s="10" t="s">
        <v>1205</v>
      </c>
      <c r="D412" s="10" t="s">
        <v>1206</v>
      </c>
      <c r="E412" s="8">
        <v>1000.0</v>
      </c>
      <c r="F412" s="15">
        <v>5281.0</v>
      </c>
      <c r="G412" s="13">
        <f>F412*412</f>
        <v>2175772</v>
      </c>
      <c r="H412" s="18" t="s">
        <v>14</v>
      </c>
    </row>
    <row r="413" spans="1:8" outlineLevel="1">
      <c r="A413" s="18">
        <v>406</v>
      </c>
      <c r="B413" s="9" t="s">
        <v>1207</v>
      </c>
      <c r="C413" s="10" t="s">
        <v>1208</v>
      </c>
      <c r="D413" s="10" t="s">
        <v>1209</v>
      </c>
      <c r="E413" s="8">
        <v>1000.0</v>
      </c>
      <c r="F413" s="15">
        <v>4129.0</v>
      </c>
      <c r="G413" s="13">
        <f>F413*413</f>
        <v>1705277</v>
      </c>
      <c r="H413" s="18" t="s">
        <v>14</v>
      </c>
    </row>
    <row r="414" spans="1:8" outlineLevel="1">
      <c r="A414" s="18">
        <v>407</v>
      </c>
      <c r="B414" s="9" t="s">
        <v>1210</v>
      </c>
      <c r="C414" s="10" t="s">
        <v>1211</v>
      </c>
      <c r="D414" s="10" t="s">
        <v>1212</v>
      </c>
      <c r="E414" s="8" t="s">
        <v>23</v>
      </c>
      <c r="F414" s="15">
        <v>3746.0</v>
      </c>
      <c r="G414" s="13">
        <f>F414*414</f>
        <v>1550844</v>
      </c>
      <c r="H414" s="18" t="s">
        <v>14</v>
      </c>
    </row>
    <row r="415" spans="1:8" outlineLevel="1">
      <c r="A415" s="18">
        <v>408</v>
      </c>
      <c r="B415" s="9" t="s">
        <v>1213</v>
      </c>
      <c r="C415" s="10" t="s">
        <v>1214</v>
      </c>
      <c r="D415" s="10" t="s">
        <v>1215</v>
      </c>
      <c r="E415" s="8" t="s">
        <v>23</v>
      </c>
      <c r="F415" s="15">
        <v>371.0</v>
      </c>
      <c r="G415" s="13">
        <f>F415*415</f>
        <v>153965</v>
      </c>
      <c r="H415" s="18" t="s">
        <v>14</v>
      </c>
    </row>
    <row r="416" spans="1:8" outlineLevel="1">
      <c r="A416" s="18">
        <v>409</v>
      </c>
      <c r="B416" s="9" t="s">
        <v>1216</v>
      </c>
      <c r="C416" s="10" t="s">
        <v>1214</v>
      </c>
      <c r="D416" s="10" t="s">
        <v>1217</v>
      </c>
      <c r="E416" s="8" t="s">
        <v>23</v>
      </c>
      <c r="F416" s="15">
        <v>507.0</v>
      </c>
      <c r="G416" s="13">
        <f>F416*416</f>
        <v>210912</v>
      </c>
      <c r="H416" s="18" t="s">
        <v>14</v>
      </c>
    </row>
    <row r="417" spans="1:8" outlineLevel="1">
      <c r="A417" s="18">
        <v>410</v>
      </c>
      <c r="B417" s="9" t="s">
        <v>1218</v>
      </c>
      <c r="C417" s="10" t="s">
        <v>1219</v>
      </c>
      <c r="D417" s="10" t="s">
        <v>1220</v>
      </c>
      <c r="E417" s="8" t="s">
        <v>23</v>
      </c>
      <c r="F417" s="15">
        <v>248.0</v>
      </c>
      <c r="G417" s="13">
        <f>F417*417</f>
        <v>103416</v>
      </c>
      <c r="H417" s="18" t="s">
        <v>14</v>
      </c>
    </row>
    <row r="418" spans="1:8" outlineLevel="1">
      <c r="A418" s="18">
        <v>411</v>
      </c>
      <c r="B418" s="9" t="s">
        <v>1221</v>
      </c>
      <c r="C418" s="10" t="s">
        <v>1222</v>
      </c>
      <c r="D418" s="10" t="s">
        <v>1223</v>
      </c>
      <c r="E418" s="8">
        <v>1000.0</v>
      </c>
      <c r="F418" s="15">
        <v>37531.0</v>
      </c>
      <c r="G418" s="13">
        <f>F418*418</f>
        <v>15687958</v>
      </c>
      <c r="H418" s="18" t="s">
        <v>14</v>
      </c>
    </row>
    <row r="419" spans="1:8" outlineLevel="1">
      <c r="A419" s="18">
        <v>412</v>
      </c>
      <c r="B419" s="9" t="s">
        <v>1224</v>
      </c>
      <c r="C419" s="10" t="s">
        <v>1225</v>
      </c>
      <c r="D419" s="10" t="s">
        <v>1226</v>
      </c>
      <c r="E419" s="8">
        <v>1000.0</v>
      </c>
      <c r="F419" s="15">
        <v>14392.0</v>
      </c>
      <c r="G419" s="13">
        <f>F419*419</f>
        <v>6030248</v>
      </c>
      <c r="H419" s="18" t="s">
        <v>14</v>
      </c>
    </row>
    <row r="420" spans="1:8" outlineLevel="1">
      <c r="A420" s="18">
        <v>413</v>
      </c>
      <c r="B420" s="9" t="s">
        <v>1227</v>
      </c>
      <c r="C420" s="10" t="s">
        <v>1228</v>
      </c>
      <c r="D420" s="10" t="s">
        <v>1229</v>
      </c>
      <c r="E420" s="8" t="s">
        <v>23</v>
      </c>
      <c r="F420" s="15">
        <v>2050.0</v>
      </c>
      <c r="G420" s="13">
        <f>F420*420</f>
        <v>861000</v>
      </c>
      <c r="H420" s="18" t="s">
        <v>14</v>
      </c>
    </row>
    <row r="421" spans="1:8" outlineLevel="1">
      <c r="A421" s="18">
        <v>414</v>
      </c>
      <c r="B421" s="9" t="s">
        <v>1230</v>
      </c>
      <c r="C421" s="10" t="s">
        <v>1231</v>
      </c>
      <c r="D421" s="10" t="s">
        <v>1232</v>
      </c>
      <c r="E421" s="8" t="s">
        <v>23</v>
      </c>
      <c r="F421" s="15">
        <v>438.0</v>
      </c>
      <c r="G421" s="13">
        <f>F421*421</f>
        <v>184398</v>
      </c>
      <c r="H421" s="18" t="s">
        <v>14</v>
      </c>
    </row>
    <row r="422" spans="1:8" outlineLevel="1">
      <c r="A422" s="18">
        <v>415</v>
      </c>
      <c r="B422" s="9" t="s">
        <v>1233</v>
      </c>
      <c r="C422" s="10" t="s">
        <v>1234</v>
      </c>
      <c r="D422" s="10" t="s">
        <v>1235</v>
      </c>
      <c r="E422" s="8" t="s">
        <v>23</v>
      </c>
      <c r="F422" s="15">
        <v>255.0</v>
      </c>
      <c r="G422" s="13">
        <f>F422*422</f>
        <v>107610</v>
      </c>
      <c r="H422" s="18" t="s">
        <v>14</v>
      </c>
    </row>
    <row r="423" spans="1:8" outlineLevel="1">
      <c r="A423" s="18">
        <v>416</v>
      </c>
      <c r="B423" s="9" t="s">
        <v>1236</v>
      </c>
      <c r="C423" s="10" t="s">
        <v>1237</v>
      </c>
      <c r="D423" s="10" t="s">
        <v>1238</v>
      </c>
      <c r="E423" s="8" t="s">
        <v>23</v>
      </c>
      <c r="F423" s="15">
        <v>250.0</v>
      </c>
      <c r="G423" s="13">
        <f>F423*423</f>
        <v>105750</v>
      </c>
      <c r="H423" s="18" t="s">
        <v>14</v>
      </c>
    </row>
    <row r="424" spans="1:8" outlineLevel="1">
      <c r="A424" s="18">
        <v>417</v>
      </c>
      <c r="B424" s="9" t="s">
        <v>1239</v>
      </c>
      <c r="C424" s="10" t="s">
        <v>1240</v>
      </c>
      <c r="D424" s="10" t="s">
        <v>1241</v>
      </c>
      <c r="E424" s="8" t="s">
        <v>23</v>
      </c>
      <c r="F424" s="15">
        <v>771.0</v>
      </c>
      <c r="G424" s="13">
        <f>F424*424</f>
        <v>326904</v>
      </c>
      <c r="H424" s="18" t="s">
        <v>14</v>
      </c>
    </row>
    <row r="425" spans="1:8" outlineLevel="1">
      <c r="A425" s="18">
        <v>418</v>
      </c>
      <c r="B425" s="9" t="s">
        <v>1242</v>
      </c>
      <c r="C425" s="10" t="s">
        <v>1243</v>
      </c>
      <c r="D425" s="10" t="s">
        <v>1244</v>
      </c>
      <c r="E425" s="8">
        <v>1000.0</v>
      </c>
      <c r="F425" s="15">
        <v>78000.0</v>
      </c>
      <c r="G425" s="13">
        <f>F425*425</f>
        <v>33150000</v>
      </c>
      <c r="H425" s="18" t="s">
        <v>14</v>
      </c>
    </row>
    <row r="426" spans="1:8" outlineLevel="1">
      <c r="A426" s="18">
        <v>419</v>
      </c>
      <c r="B426" s="9" t="s">
        <v>1245</v>
      </c>
      <c r="C426" s="10" t="s">
        <v>1246</v>
      </c>
      <c r="D426" s="10" t="s">
        <v>1247</v>
      </c>
      <c r="E426" s="8" t="s">
        <v>23</v>
      </c>
      <c r="F426" s="15">
        <v>26740.0</v>
      </c>
      <c r="G426" s="13">
        <f>F426*426</f>
        <v>11391240</v>
      </c>
      <c r="H426" s="18" t="s">
        <v>14</v>
      </c>
    </row>
    <row r="427" spans="1:8" outlineLevel="1">
      <c r="A427" s="18">
        <v>420</v>
      </c>
      <c r="B427" s="9" t="s">
        <v>1248</v>
      </c>
      <c r="C427" s="10" t="s">
        <v>1249</v>
      </c>
      <c r="D427" s="10" t="s">
        <v>1250</v>
      </c>
      <c r="E427" s="8">
        <v>1000.0</v>
      </c>
      <c r="F427" s="15">
        <v>39000.0</v>
      </c>
      <c r="G427" s="13">
        <f>F427*427</f>
        <v>16653000</v>
      </c>
      <c r="H427" s="18" t="s">
        <v>14</v>
      </c>
    </row>
    <row r="428" spans="1:8" outlineLevel="1">
      <c r="A428" s="18">
        <v>421</v>
      </c>
      <c r="B428" s="9" t="s">
        <v>1251</v>
      </c>
      <c r="C428" s="10" t="s">
        <v>1252</v>
      </c>
      <c r="D428" s="10" t="s">
        <v>1253</v>
      </c>
      <c r="E428" s="8">
        <v>1000.0</v>
      </c>
      <c r="F428" s="15">
        <v>27800.0</v>
      </c>
      <c r="G428" s="13">
        <f>F428*428</f>
        <v>11898400</v>
      </c>
      <c r="H428" s="18" t="s">
        <v>14</v>
      </c>
    </row>
    <row r="429" spans="1:8" outlineLevel="1">
      <c r="A429" s="18">
        <v>422</v>
      </c>
      <c r="B429" s="9" t="s">
        <v>1254</v>
      </c>
      <c r="C429" s="10" t="s">
        <v>1255</v>
      </c>
      <c r="D429" s="10" t="s">
        <v>1256</v>
      </c>
      <c r="E429" s="8">
        <v>1000.0</v>
      </c>
      <c r="F429" s="15">
        <v>17500.0</v>
      </c>
      <c r="G429" s="13">
        <f>F429*429</f>
        <v>7507500</v>
      </c>
      <c r="H429" s="18" t="s">
        <v>14</v>
      </c>
    </row>
    <row r="430" spans="1:8" outlineLevel="1">
      <c r="A430" s="18">
        <v>423</v>
      </c>
      <c r="B430" s="9" t="s">
        <v>1257</v>
      </c>
      <c r="C430" s="10" t="s">
        <v>1258</v>
      </c>
      <c r="D430" s="10" t="s">
        <v>1259</v>
      </c>
      <c r="E430" s="8">
        <v>1000.0</v>
      </c>
      <c r="F430" s="15">
        <v>617000.0</v>
      </c>
      <c r="G430" s="13">
        <f>F430*430</f>
        <v>265310000</v>
      </c>
      <c r="H430" s="18" t="s">
        <v>14</v>
      </c>
    </row>
    <row r="431" spans="1:8" outlineLevel="1">
      <c r="A431" s="18">
        <v>424</v>
      </c>
      <c r="B431" s="9" t="s">
        <v>1260</v>
      </c>
      <c r="C431" s="10" t="s">
        <v>1261</v>
      </c>
      <c r="D431" s="10" t="s">
        <v>1262</v>
      </c>
      <c r="E431" s="8">
        <v>1000.0</v>
      </c>
      <c r="F431" s="15">
        <v>542752.0</v>
      </c>
      <c r="G431" s="13">
        <f>F431*431</f>
        <v>233926112</v>
      </c>
      <c r="H431" s="18" t="s">
        <v>14</v>
      </c>
    </row>
    <row r="432" spans="1:8" outlineLevel="1">
      <c r="A432" s="18">
        <v>425</v>
      </c>
      <c r="B432" s="9" t="s">
        <v>1263</v>
      </c>
      <c r="C432" s="10" t="s">
        <v>1264</v>
      </c>
      <c r="D432" s="10" t="s">
        <v>1265</v>
      </c>
      <c r="E432" s="8">
        <v>1000.0</v>
      </c>
      <c r="F432" s="15">
        <v>640283.0</v>
      </c>
      <c r="G432" s="13">
        <f>F432*432</f>
        <v>276602256</v>
      </c>
      <c r="H432" s="18" t="s">
        <v>14</v>
      </c>
    </row>
    <row r="433" spans="1:8" outlineLevel="1">
      <c r="A433" s="18">
        <v>426</v>
      </c>
      <c r="B433" s="9" t="s">
        <v>1266</v>
      </c>
      <c r="C433" s="10" t="s">
        <v>1267</v>
      </c>
      <c r="D433" s="10" t="s">
        <v>1268</v>
      </c>
      <c r="E433" s="8">
        <v>1000.0</v>
      </c>
      <c r="F433" s="15">
        <v>449356.0</v>
      </c>
      <c r="G433" s="13">
        <f>F433*433</f>
        <v>194571148</v>
      </c>
      <c r="H433" s="18" t="s">
        <v>14</v>
      </c>
    </row>
    <row r="434" spans="1:8" outlineLevel="1">
      <c r="A434" s="18">
        <v>427</v>
      </c>
      <c r="B434" s="9" t="s">
        <v>1269</v>
      </c>
      <c r="C434" s="10" t="s">
        <v>1270</v>
      </c>
      <c r="D434" s="10" t="s">
        <v>1271</v>
      </c>
      <c r="E434" s="8">
        <v>1000.0</v>
      </c>
      <c r="F434" s="15">
        <v>382877.0</v>
      </c>
      <c r="G434" s="13">
        <f>F434*434</f>
        <v>166168618</v>
      </c>
      <c r="H434" s="18" t="s">
        <v>14</v>
      </c>
    </row>
    <row r="435" spans="1:8" outlineLevel="1">
      <c r="A435" s="18">
        <v>428</v>
      </c>
      <c r="B435" s="9" t="s">
        <v>1272</v>
      </c>
      <c r="C435" s="10" t="s">
        <v>1273</v>
      </c>
      <c r="D435" s="10" t="s">
        <v>1274</v>
      </c>
      <c r="E435" s="8">
        <v>1000.0</v>
      </c>
      <c r="F435" s="15">
        <v>370006.0</v>
      </c>
      <c r="G435" s="13">
        <f>F435*435</f>
        <v>160952610</v>
      </c>
      <c r="H435" s="18" t="s">
        <v>14</v>
      </c>
    </row>
    <row r="436" spans="1:8" outlineLevel="1">
      <c r="A436" s="18">
        <v>429</v>
      </c>
      <c r="B436" s="9" t="s">
        <v>1275</v>
      </c>
      <c r="C436" s="10" t="s">
        <v>1276</v>
      </c>
      <c r="D436" s="10" t="s">
        <v>1277</v>
      </c>
      <c r="E436" s="8">
        <v>1000.0</v>
      </c>
      <c r="F436" s="15">
        <v>403448.0</v>
      </c>
      <c r="G436" s="13">
        <f>F436*436</f>
        <v>175903328</v>
      </c>
      <c r="H436" s="18" t="s">
        <v>14</v>
      </c>
    </row>
    <row r="437" spans="1:8" outlineLevel="1">
      <c r="A437" s="18">
        <v>430</v>
      </c>
      <c r="B437" s="9" t="s">
        <v>1278</v>
      </c>
      <c r="C437" s="10" t="s">
        <v>1279</v>
      </c>
      <c r="D437" s="10" t="s">
        <v>1280</v>
      </c>
      <c r="E437" s="8">
        <v>1000.0</v>
      </c>
      <c r="F437" s="15">
        <v>213465.0</v>
      </c>
      <c r="G437" s="13">
        <f>F437*437</f>
        <v>93284205</v>
      </c>
      <c r="H437" s="18" t="s">
        <v>14</v>
      </c>
    </row>
    <row r="438" spans="1:8" outlineLevel="1">
      <c r="A438" s="18">
        <v>431</v>
      </c>
      <c r="B438" s="9" t="s">
        <v>1281</v>
      </c>
      <c r="C438" s="10" t="s">
        <v>1282</v>
      </c>
      <c r="D438" s="10" t="s">
        <v>1283</v>
      </c>
      <c r="E438" s="8">
        <v>1000.0</v>
      </c>
      <c r="F438" s="15">
        <v>28000.0</v>
      </c>
      <c r="G438" s="13">
        <f>F438*438</f>
        <v>12264000</v>
      </c>
      <c r="H438" s="18" t="s">
        <v>14</v>
      </c>
    </row>
    <row r="439" spans="1:8" outlineLevel="1">
      <c r="A439" s="18">
        <v>432</v>
      </c>
      <c r="B439" s="9" t="s">
        <v>1284</v>
      </c>
      <c r="C439" s="10" t="s">
        <v>1285</v>
      </c>
      <c r="D439" s="10" t="s">
        <v>1286</v>
      </c>
      <c r="E439" s="8" t="s">
        <v>23</v>
      </c>
      <c r="F439" s="15">
        <v>15725.0</v>
      </c>
      <c r="G439" s="13">
        <f>F439*439</f>
        <v>6903275</v>
      </c>
      <c r="H439" s="18" t="s">
        <v>14</v>
      </c>
    </row>
    <row r="440" spans="1:8" outlineLevel="1">
      <c r="A440" s="18">
        <v>433</v>
      </c>
      <c r="B440" s="9" t="s">
        <v>1287</v>
      </c>
      <c r="C440" s="10" t="s">
        <v>1288</v>
      </c>
      <c r="D440" s="10" t="s">
        <v>1289</v>
      </c>
      <c r="E440" s="8" t="s">
        <v>23</v>
      </c>
      <c r="F440" s="15">
        <v>17850.0</v>
      </c>
      <c r="G440" s="13">
        <f>F440*440</f>
        <v>7854000</v>
      </c>
      <c r="H440" s="18" t="s">
        <v>14</v>
      </c>
    </row>
    <row r="441" spans="1:8" outlineLevel="1">
      <c r="A441" s="18">
        <v>434</v>
      </c>
      <c r="B441" s="9" t="s">
        <v>1290</v>
      </c>
      <c r="C441" s="10" t="s">
        <v>1291</v>
      </c>
      <c r="D441" s="10" t="s">
        <v>1292</v>
      </c>
      <c r="E441" s="8">
        <v>1000.0</v>
      </c>
      <c r="F441" s="15">
        <v>11000.0</v>
      </c>
      <c r="G441" s="13">
        <f>F441*441</f>
        <v>4851000</v>
      </c>
      <c r="H441" s="18" t="s">
        <v>14</v>
      </c>
    </row>
    <row r="442" spans="1:8" outlineLevel="1">
      <c r="A442" s="18">
        <v>435</v>
      </c>
      <c r="B442" s="9" t="s">
        <v>1293</v>
      </c>
      <c r="C442" s="10" t="s">
        <v>1294</v>
      </c>
      <c r="D442" s="10" t="s">
        <v>1295</v>
      </c>
      <c r="E442" s="8">
        <v>1000.0</v>
      </c>
      <c r="F442" s="15">
        <v>23000.0</v>
      </c>
      <c r="G442" s="13">
        <f>F442*442</f>
        <v>10166000</v>
      </c>
      <c r="H442" s="18" t="s">
        <v>14</v>
      </c>
    </row>
    <row r="443" spans="1:8" outlineLevel="1">
      <c r="A443" s="18">
        <v>436</v>
      </c>
      <c r="B443" s="9" t="s">
        <v>1296</v>
      </c>
      <c r="C443" s="10" t="s">
        <v>1297</v>
      </c>
      <c r="D443" s="10" t="s">
        <v>1298</v>
      </c>
      <c r="E443" s="8">
        <v>1000.0</v>
      </c>
      <c r="F443" s="15">
        <v>22500.0</v>
      </c>
      <c r="G443" s="13">
        <f>F443*443</f>
        <v>9967500</v>
      </c>
      <c r="H443" s="18" t="s">
        <v>14</v>
      </c>
    </row>
    <row r="444" spans="1:8" outlineLevel="1">
      <c r="A444" s="18">
        <v>437</v>
      </c>
      <c r="B444" s="9" t="s">
        <v>1299</v>
      </c>
      <c r="C444" s="10" t="s">
        <v>1300</v>
      </c>
      <c r="D444" s="10" t="s">
        <v>1301</v>
      </c>
      <c r="E444" s="8">
        <v>1000.0</v>
      </c>
      <c r="F444" s="15">
        <v>59000.0</v>
      </c>
      <c r="G444" s="13">
        <f>F444*444</f>
        <v>26196000</v>
      </c>
      <c r="H444" s="18" t="s">
        <v>14</v>
      </c>
    </row>
    <row r="445" spans="1:8" outlineLevel="1">
      <c r="A445" s="18">
        <v>438</v>
      </c>
      <c r="B445" s="9" t="s">
        <v>1302</v>
      </c>
      <c r="C445" s="10" t="s">
        <v>1303</v>
      </c>
      <c r="D445" s="10" t="s">
        <v>1304</v>
      </c>
      <c r="E445" s="8">
        <v>1000.0</v>
      </c>
      <c r="F445" s="15">
        <v>55000.0</v>
      </c>
      <c r="G445" s="13">
        <f>F445*445</f>
        <v>24475000</v>
      </c>
      <c r="H445" s="18" t="s">
        <v>14</v>
      </c>
    </row>
    <row r="446" spans="1:8" outlineLevel="1">
      <c r="A446" s="18">
        <v>439</v>
      </c>
      <c r="B446" s="9" t="s">
        <v>1305</v>
      </c>
      <c r="C446" s="10" t="s">
        <v>1306</v>
      </c>
      <c r="D446" s="10" t="s">
        <v>1307</v>
      </c>
      <c r="E446" s="8">
        <v>1000.0</v>
      </c>
      <c r="F446" s="15">
        <v>63000.0</v>
      </c>
      <c r="G446" s="13">
        <f>F446*446</f>
        <v>28098000</v>
      </c>
      <c r="H446" s="18" t="s">
        <v>14</v>
      </c>
    </row>
    <row r="447" spans="1:8" outlineLevel="1">
      <c r="A447" s="18">
        <v>440</v>
      </c>
      <c r="B447" s="9" t="s">
        <v>1308</v>
      </c>
      <c r="C447" s="10" t="s">
        <v>1309</v>
      </c>
      <c r="D447" s="10" t="s">
        <v>1310</v>
      </c>
      <c r="E447" s="8">
        <v>1000.0</v>
      </c>
      <c r="F447" s="15">
        <v>76500.0</v>
      </c>
      <c r="G447" s="13">
        <f>F447*447</f>
        <v>34195500</v>
      </c>
      <c r="H447" s="18" t="s">
        <v>14</v>
      </c>
    </row>
    <row r="448" spans="1:8" outlineLevel="1">
      <c r="A448" s="18">
        <v>441</v>
      </c>
      <c r="B448" s="9" t="s">
        <v>1311</v>
      </c>
      <c r="C448" s="10" t="s">
        <v>1312</v>
      </c>
      <c r="D448" s="10" t="s">
        <v>1313</v>
      </c>
      <c r="E448" s="8">
        <v>1000.0</v>
      </c>
      <c r="F448" s="15">
        <v>16131.0</v>
      </c>
      <c r="G448" s="13">
        <f>F448*448</f>
        <v>7226688</v>
      </c>
      <c r="H448" s="18" t="s">
        <v>14</v>
      </c>
    </row>
    <row r="449" spans="1:8" outlineLevel="1">
      <c r="A449" s="18">
        <v>442</v>
      </c>
      <c r="B449" s="9" t="s">
        <v>1314</v>
      </c>
      <c r="C449" s="10" t="s">
        <v>1315</v>
      </c>
      <c r="D449" s="10" t="s">
        <v>1316</v>
      </c>
      <c r="E449" s="8">
        <v>1000.0</v>
      </c>
      <c r="F449" s="15">
        <v>22461.0</v>
      </c>
      <c r="G449" s="13">
        <f>F449*449</f>
        <v>10084989</v>
      </c>
      <c r="H449" s="18" t="s">
        <v>14</v>
      </c>
    </row>
    <row r="450" spans="1:8" outlineLevel="1">
      <c r="A450" s="18">
        <v>443</v>
      </c>
      <c r="B450" s="9" t="s">
        <v>1317</v>
      </c>
      <c r="C450" s="10" t="s">
        <v>1318</v>
      </c>
      <c r="D450" s="10" t="s">
        <v>1319</v>
      </c>
      <c r="E450" s="8">
        <v>1000.0</v>
      </c>
      <c r="F450" s="15">
        <v>17106.0</v>
      </c>
      <c r="G450" s="13">
        <f>F450*450</f>
        <v>7697700</v>
      </c>
      <c r="H450" s="18" t="s">
        <v>14</v>
      </c>
    </row>
    <row r="451" spans="1:8" outlineLevel="1">
      <c r="A451" s="18">
        <v>444</v>
      </c>
      <c r="B451" s="9" t="s">
        <v>1320</v>
      </c>
      <c r="C451" s="10" t="s">
        <v>1321</v>
      </c>
      <c r="D451" s="10" t="s">
        <v>1322</v>
      </c>
      <c r="E451" s="8">
        <v>1000.0</v>
      </c>
      <c r="F451" s="15">
        <v>19748.0</v>
      </c>
      <c r="G451" s="13">
        <f>F451*451</f>
        <v>8906348</v>
      </c>
      <c r="H451" s="18" t="s">
        <v>14</v>
      </c>
    </row>
    <row r="452" spans="1:8" outlineLevel="1">
      <c r="A452" s="18">
        <v>445</v>
      </c>
      <c r="B452" s="9" t="s">
        <v>1323</v>
      </c>
      <c r="C452" s="10" t="s">
        <v>1324</v>
      </c>
      <c r="D452" s="10" t="s">
        <v>1325</v>
      </c>
      <c r="E452" s="8">
        <v>1000.0</v>
      </c>
      <c r="F452" s="15">
        <v>46452.0</v>
      </c>
      <c r="G452" s="13">
        <f>F452*452</f>
        <v>20996304</v>
      </c>
      <c r="H452" s="18" t="s">
        <v>14</v>
      </c>
    </row>
    <row r="453" spans="1:8" outlineLevel="1">
      <c r="A453" s="18">
        <v>446</v>
      </c>
      <c r="B453" s="9" t="s">
        <v>1326</v>
      </c>
      <c r="C453" s="10" t="s">
        <v>1327</v>
      </c>
      <c r="D453" s="10" t="s">
        <v>1328</v>
      </c>
      <c r="E453" s="8">
        <v>1000.0</v>
      </c>
      <c r="F453" s="15">
        <v>85000.0</v>
      </c>
      <c r="G453" s="13">
        <f>F453*453</f>
        <v>38505000</v>
      </c>
      <c r="H453" s="18" t="s">
        <v>14</v>
      </c>
    </row>
    <row r="454" spans="1:8" outlineLevel="1">
      <c r="A454" s="18">
        <v>447</v>
      </c>
      <c r="B454" s="9" t="s">
        <v>1329</v>
      </c>
      <c r="C454" s="10" t="s">
        <v>1330</v>
      </c>
      <c r="D454" s="10" t="s">
        <v>1331</v>
      </c>
      <c r="E454" s="8">
        <v>1000.0</v>
      </c>
      <c r="F454" s="15">
        <v>101730.0</v>
      </c>
      <c r="G454" s="13">
        <f>F454*454</f>
        <v>46185420</v>
      </c>
      <c r="H454" s="18" t="s">
        <v>14</v>
      </c>
    </row>
    <row r="455" spans="1:8" outlineLevel="1">
      <c r="A455" s="18">
        <v>448</v>
      </c>
      <c r="B455" s="9" t="s">
        <v>1332</v>
      </c>
      <c r="C455" s="10" t="s">
        <v>1333</v>
      </c>
      <c r="D455" s="10" t="s">
        <v>1334</v>
      </c>
      <c r="E455" s="8">
        <v>1000.0</v>
      </c>
      <c r="F455" s="15">
        <v>55000.0</v>
      </c>
      <c r="G455" s="13">
        <f>F455*455</f>
        <v>25025000</v>
      </c>
      <c r="H455" s="18" t="s">
        <v>14</v>
      </c>
    </row>
    <row r="456" spans="1:8" outlineLevel="1">
      <c r="A456" s="18">
        <v>449</v>
      </c>
      <c r="B456" s="9" t="s">
        <v>1335</v>
      </c>
      <c r="C456" s="10" t="s">
        <v>1336</v>
      </c>
      <c r="D456" s="10" t="s">
        <v>1337</v>
      </c>
      <c r="E456" s="8">
        <v>1000.0</v>
      </c>
      <c r="F456" s="15">
        <v>85000.0</v>
      </c>
      <c r="G456" s="13">
        <f>F456*456</f>
        <v>38760000</v>
      </c>
      <c r="H456" s="18" t="s">
        <v>14</v>
      </c>
    </row>
    <row r="457" spans="1:8" outlineLevel="1">
      <c r="A457" s="18">
        <v>450</v>
      </c>
      <c r="B457" s="9" t="s">
        <v>1338</v>
      </c>
      <c r="C457" s="10" t="s">
        <v>1339</v>
      </c>
      <c r="D457" s="10" t="s">
        <v>1340</v>
      </c>
      <c r="E457" s="8">
        <v>1000.0</v>
      </c>
      <c r="F457" s="15">
        <v>118000.0</v>
      </c>
      <c r="G457" s="13">
        <f>F457*457</f>
        <v>53926000</v>
      </c>
      <c r="H457" s="18" t="s">
        <v>14</v>
      </c>
    </row>
    <row r="458" spans="1:8" outlineLevel="1">
      <c r="A458" s="18">
        <v>451</v>
      </c>
      <c r="B458" s="9" t="s">
        <v>1341</v>
      </c>
      <c r="C458" s="10" t="s">
        <v>1342</v>
      </c>
      <c r="D458" s="10" t="s">
        <v>1343</v>
      </c>
      <c r="E458" s="8">
        <v>1000.0</v>
      </c>
      <c r="F458" s="15">
        <v>50000.0</v>
      </c>
      <c r="G458" s="13">
        <f>F458*458</f>
        <v>22900000</v>
      </c>
      <c r="H458" s="18" t="s">
        <v>14</v>
      </c>
    </row>
    <row r="459" spans="1:8" outlineLevel="1">
      <c r="A459" s="18">
        <v>452</v>
      </c>
      <c r="B459" s="9" t="s">
        <v>1344</v>
      </c>
      <c r="C459" s="10" t="s">
        <v>1345</v>
      </c>
      <c r="D459" s="10" t="s">
        <v>1346</v>
      </c>
      <c r="E459" s="8">
        <v>1000.0</v>
      </c>
      <c r="F459" s="15">
        <v>34100.0</v>
      </c>
      <c r="G459" s="13">
        <f>F459*459</f>
        <v>15651900</v>
      </c>
      <c r="H459" s="18" t="s">
        <v>14</v>
      </c>
    </row>
    <row r="460" spans="1:8" outlineLevel="1">
      <c r="A460" s="18">
        <v>453</v>
      </c>
      <c r="B460" s="9" t="s">
        <v>1347</v>
      </c>
      <c r="C460" s="10" t="s">
        <v>1348</v>
      </c>
      <c r="D460" s="10" t="s">
        <v>1349</v>
      </c>
      <c r="E460" s="8">
        <v>1000.0</v>
      </c>
      <c r="F460" s="15">
        <v>26645.0</v>
      </c>
      <c r="G460" s="13">
        <f>F460*460</f>
        <v>12256700</v>
      </c>
      <c r="H460" s="18" t="s">
        <v>14</v>
      </c>
    </row>
    <row r="461" spans="1:8" outlineLevel="1">
      <c r="A461" s="18">
        <v>454</v>
      </c>
      <c r="B461" s="9" t="s">
        <v>1350</v>
      </c>
      <c r="C461" s="10" t="s">
        <v>1351</v>
      </c>
      <c r="D461" s="10" t="s">
        <v>1352</v>
      </c>
      <c r="E461" s="8">
        <v>1000.0</v>
      </c>
      <c r="F461" s="15">
        <v>6456.0</v>
      </c>
      <c r="G461" s="13">
        <f>F461*461</f>
        <v>2976216</v>
      </c>
      <c r="H461" s="18" t="s">
        <v>14</v>
      </c>
    </row>
    <row r="462" spans="1:8" outlineLevel="1">
      <c r="A462" s="18">
        <v>455</v>
      </c>
      <c r="B462" s="9" t="s">
        <v>1353</v>
      </c>
      <c r="C462" s="10" t="s">
        <v>1354</v>
      </c>
      <c r="D462" s="10" t="s">
        <v>1355</v>
      </c>
      <c r="E462" s="8" t="s">
        <v>23</v>
      </c>
      <c r="F462" s="15">
        <v>21888.0</v>
      </c>
      <c r="G462" s="13">
        <f>F462*462</f>
        <v>10112256</v>
      </c>
      <c r="H462" s="18" t="s">
        <v>14</v>
      </c>
    </row>
    <row r="463" spans="1:8" outlineLevel="1">
      <c r="A463" s="18">
        <v>456</v>
      </c>
      <c r="B463" s="9" t="s">
        <v>1356</v>
      </c>
      <c r="C463" s="10" t="s">
        <v>1357</v>
      </c>
      <c r="D463" s="10" t="s">
        <v>1358</v>
      </c>
      <c r="E463" s="8" t="s">
        <v>23</v>
      </c>
      <c r="F463" s="15">
        <v>47136.0</v>
      </c>
      <c r="G463" s="13">
        <f>F463*463</f>
        <v>21823968</v>
      </c>
      <c r="H463" s="18" t="s">
        <v>14</v>
      </c>
    </row>
    <row r="464" spans="1:8" outlineLevel="1">
      <c r="A464" s="18">
        <v>457</v>
      </c>
      <c r="B464" s="9" t="s">
        <v>1359</v>
      </c>
      <c r="C464" s="10" t="s">
        <v>1360</v>
      </c>
      <c r="D464" s="10" t="s">
        <v>1361</v>
      </c>
      <c r="E464" s="8" t="s">
        <v>23</v>
      </c>
      <c r="F464" s="15">
        <v>41376.0</v>
      </c>
      <c r="G464" s="13">
        <f>F464*464</f>
        <v>19198464</v>
      </c>
      <c r="H464" s="18" t="s">
        <v>14</v>
      </c>
    </row>
    <row r="465" spans="1:8" outlineLevel="1">
      <c r="A465" s="18">
        <v>458</v>
      </c>
      <c r="B465" s="9" t="s">
        <v>1362</v>
      </c>
      <c r="C465" s="10" t="s">
        <v>1363</v>
      </c>
      <c r="D465" s="10" t="s">
        <v>1364</v>
      </c>
      <c r="E465" s="8" t="s">
        <v>23</v>
      </c>
      <c r="F465" s="15">
        <v>45696.0</v>
      </c>
      <c r="G465" s="13">
        <f>F465*465</f>
        <v>21248640</v>
      </c>
      <c r="H465" s="18" t="s">
        <v>14</v>
      </c>
    </row>
    <row r="466" spans="1:8" outlineLevel="1">
      <c r="A466" s="18">
        <v>459</v>
      </c>
      <c r="B466" s="9" t="s">
        <v>1365</v>
      </c>
      <c r="C466" s="10" t="s">
        <v>1366</v>
      </c>
      <c r="D466" s="10" t="s">
        <v>1367</v>
      </c>
      <c r="E466" s="8" t="s">
        <v>23</v>
      </c>
      <c r="F466" s="15">
        <v>53472.0</v>
      </c>
      <c r="G466" s="13">
        <f>F466*466</f>
        <v>24917952</v>
      </c>
      <c r="H466" s="18" t="s">
        <v>14</v>
      </c>
    </row>
    <row r="467" spans="1:8" outlineLevel="1">
      <c r="A467" s="18">
        <v>460</v>
      </c>
      <c r="B467" s="9" t="s">
        <v>1368</v>
      </c>
      <c r="C467" s="10" t="s">
        <v>1369</v>
      </c>
      <c r="D467" s="10" t="s">
        <v>1370</v>
      </c>
      <c r="E467" s="8" t="s">
        <v>23</v>
      </c>
      <c r="F467" s="15">
        <v>46944.0</v>
      </c>
      <c r="G467" s="13">
        <f>F467*467</f>
        <v>21922848</v>
      </c>
      <c r="H467" s="18" t="s">
        <v>14</v>
      </c>
    </row>
    <row r="468" spans="1:8" outlineLevel="1">
      <c r="A468" s="18">
        <v>461</v>
      </c>
      <c r="B468" s="9" t="s">
        <v>1371</v>
      </c>
      <c r="C468" s="10" t="s">
        <v>1372</v>
      </c>
      <c r="D468" s="10" t="s">
        <v>1373</v>
      </c>
      <c r="E468" s="8" t="s">
        <v>23</v>
      </c>
      <c r="F468" s="15">
        <v>55488.0</v>
      </c>
      <c r="G468" s="13">
        <f>F468*468</f>
        <v>25968384</v>
      </c>
      <c r="H468" s="18" t="s">
        <v>14</v>
      </c>
    </row>
    <row r="469" spans="1:8" outlineLevel="1">
      <c r="A469" s="18">
        <v>462</v>
      </c>
      <c r="B469" s="9" t="s">
        <v>1374</v>
      </c>
      <c r="C469" s="10" t="s">
        <v>1375</v>
      </c>
      <c r="D469" s="10" t="s">
        <v>1376</v>
      </c>
      <c r="E469" s="8" t="s">
        <v>23</v>
      </c>
      <c r="F469" s="15">
        <v>51648.0</v>
      </c>
      <c r="G469" s="13">
        <f>F469*469</f>
        <v>24222912</v>
      </c>
      <c r="H469" s="18" t="s">
        <v>14</v>
      </c>
    </row>
    <row r="470" spans="1:8" outlineLevel="1">
      <c r="A470" s="18">
        <v>463</v>
      </c>
      <c r="B470" s="9" t="s">
        <v>1377</v>
      </c>
      <c r="C470" s="10" t="s">
        <v>1378</v>
      </c>
      <c r="D470" s="10" t="s">
        <v>1379</v>
      </c>
      <c r="E470" s="8" t="s">
        <v>23</v>
      </c>
      <c r="F470" s="15">
        <v>22944.0</v>
      </c>
      <c r="G470" s="13">
        <f>F470*470</f>
        <v>10783680</v>
      </c>
      <c r="H470" s="18" t="s">
        <v>14</v>
      </c>
    </row>
    <row r="471" spans="1:8" outlineLevel="1">
      <c r="A471" s="18">
        <v>464</v>
      </c>
      <c r="B471" s="9" t="s">
        <v>1380</v>
      </c>
      <c r="C471" s="10" t="s">
        <v>1381</v>
      </c>
      <c r="D471" s="10" t="s">
        <v>1382</v>
      </c>
      <c r="E471" s="8" t="s">
        <v>23</v>
      </c>
      <c r="F471" s="15">
        <v>23424.0</v>
      </c>
      <c r="G471" s="13">
        <f>F471*471</f>
        <v>11032704</v>
      </c>
      <c r="H471" s="18" t="s">
        <v>14</v>
      </c>
    </row>
    <row r="472" spans="1:8" outlineLevel="1">
      <c r="A472" s="18">
        <v>465</v>
      </c>
      <c r="B472" s="9" t="s">
        <v>1383</v>
      </c>
      <c r="C472" s="10" t="s">
        <v>1384</v>
      </c>
      <c r="D472" s="10" t="s">
        <v>1385</v>
      </c>
      <c r="E472" s="8" t="s">
        <v>23</v>
      </c>
      <c r="F472" s="15">
        <v>23808.0</v>
      </c>
      <c r="G472" s="13">
        <f>F472*472</f>
        <v>11237376</v>
      </c>
      <c r="H472" s="18" t="s">
        <v>14</v>
      </c>
    </row>
    <row r="473" spans="1:8" outlineLevel="1">
      <c r="A473" s="18">
        <v>466</v>
      </c>
      <c r="B473" s="9" t="s">
        <v>1386</v>
      </c>
      <c r="C473" s="10" t="s">
        <v>1387</v>
      </c>
      <c r="D473" s="10" t="s">
        <v>1388</v>
      </c>
      <c r="E473" s="8" t="s">
        <v>23</v>
      </c>
      <c r="F473" s="15">
        <v>23136.0</v>
      </c>
      <c r="G473" s="13">
        <f>F473*473</f>
        <v>10943328</v>
      </c>
      <c r="H473" s="18" t="s">
        <v>14</v>
      </c>
    </row>
    <row r="474" spans="1:8" outlineLevel="1">
      <c r="A474" s="18">
        <v>467</v>
      </c>
      <c r="B474" s="9" t="s">
        <v>1389</v>
      </c>
      <c r="C474" s="10" t="s">
        <v>1390</v>
      </c>
      <c r="D474" s="10" t="s">
        <v>1391</v>
      </c>
      <c r="E474" s="8" t="s">
        <v>23</v>
      </c>
      <c r="F474" s="15">
        <v>49536.0</v>
      </c>
      <c r="G474" s="13">
        <f>F474*474</f>
        <v>23480064</v>
      </c>
      <c r="H474" s="18" t="s">
        <v>14</v>
      </c>
    </row>
    <row r="475" spans="1:8" outlineLevel="1">
      <c r="A475" s="18">
        <v>468</v>
      </c>
      <c r="B475" s="9" t="s">
        <v>1392</v>
      </c>
      <c r="C475" s="10" t="s">
        <v>1393</v>
      </c>
      <c r="D475" s="10" t="s">
        <v>1394</v>
      </c>
      <c r="E475" s="8" t="s">
        <v>23</v>
      </c>
      <c r="F475" s="15">
        <v>153888.0</v>
      </c>
      <c r="G475" s="13">
        <f>F475*475</f>
        <v>73096800</v>
      </c>
      <c r="H475" s="18" t="s">
        <v>14</v>
      </c>
    </row>
    <row r="476" spans="1:8" outlineLevel="1">
      <c r="A476" s="18">
        <v>469</v>
      </c>
      <c r="B476" s="9" t="s">
        <v>1395</v>
      </c>
      <c r="C476" s="10" t="s">
        <v>1396</v>
      </c>
      <c r="D476" s="10" t="s">
        <v>1397</v>
      </c>
      <c r="E476" s="8" t="s">
        <v>23</v>
      </c>
      <c r="F476" s="15">
        <v>64032.0</v>
      </c>
      <c r="G476" s="13">
        <f>F476*476</f>
        <v>30479232</v>
      </c>
      <c r="H476" s="18" t="s">
        <v>14</v>
      </c>
    </row>
    <row r="477" spans="1:8" outlineLevel="1">
      <c r="A477" s="18">
        <v>470</v>
      </c>
      <c r="B477" s="9" t="s">
        <v>1398</v>
      </c>
      <c r="C477" s="10" t="s">
        <v>1399</v>
      </c>
      <c r="D477" s="10" t="s">
        <v>1400</v>
      </c>
      <c r="E477" s="8" t="s">
        <v>23</v>
      </c>
      <c r="F477" s="15">
        <v>28032.0</v>
      </c>
      <c r="G477" s="13">
        <f>F477*477</f>
        <v>13371264</v>
      </c>
      <c r="H477" s="18" t="s">
        <v>14</v>
      </c>
    </row>
    <row r="478" spans="1:8" outlineLevel="1">
      <c r="A478" s="18">
        <v>471</v>
      </c>
      <c r="B478" s="9" t="s">
        <v>1401</v>
      </c>
      <c r="C478" s="10" t="s">
        <v>1402</v>
      </c>
      <c r="D478" s="10" t="s">
        <v>1403</v>
      </c>
      <c r="E478" s="8" t="s">
        <v>23</v>
      </c>
      <c r="F478" s="15">
        <v>7650.0</v>
      </c>
      <c r="G478" s="13">
        <f>F478*478</f>
        <v>3656700</v>
      </c>
      <c r="H478" s="18" t="s">
        <v>14</v>
      </c>
    </row>
    <row r="479" spans="1:8" outlineLevel="1">
      <c r="A479" s="18">
        <v>472</v>
      </c>
      <c r="B479" s="9" t="s">
        <v>1404</v>
      </c>
      <c r="C479" s="10" t="s">
        <v>1405</v>
      </c>
      <c r="D479" s="10" t="s">
        <v>1406</v>
      </c>
      <c r="E479" s="8" t="s">
        <v>23</v>
      </c>
      <c r="F479" s="15">
        <v>7820.0</v>
      </c>
      <c r="G479" s="13">
        <f>F479*479</f>
        <v>3745780</v>
      </c>
      <c r="H479" s="18" t="s">
        <v>14</v>
      </c>
    </row>
    <row r="480" spans="1:8" outlineLevel="1">
      <c r="A480" s="18">
        <v>473</v>
      </c>
      <c r="B480" s="9" t="s">
        <v>1407</v>
      </c>
      <c r="C480" s="10" t="s">
        <v>1408</v>
      </c>
      <c r="D480" s="10" t="s">
        <v>1409</v>
      </c>
      <c r="E480" s="8" t="s">
        <v>23</v>
      </c>
      <c r="F480" s="15">
        <v>8075.0</v>
      </c>
      <c r="G480" s="13">
        <f>F480*480</f>
        <v>3876000</v>
      </c>
      <c r="H480" s="18" t="s">
        <v>14</v>
      </c>
    </row>
    <row r="481" spans="1:8" outlineLevel="1">
      <c r="A481" s="18">
        <v>474</v>
      </c>
      <c r="B481" s="9" t="s">
        <v>1410</v>
      </c>
      <c r="C481" s="10" t="s">
        <v>1411</v>
      </c>
      <c r="D481" s="10" t="s">
        <v>1412</v>
      </c>
      <c r="E481" s="8" t="s">
        <v>23</v>
      </c>
      <c r="F481" s="15">
        <v>25925.0</v>
      </c>
      <c r="G481" s="13">
        <f>F481*481</f>
        <v>12469925</v>
      </c>
      <c r="H481" s="18" t="s">
        <v>14</v>
      </c>
    </row>
    <row r="482" spans="1:8" outlineLevel="1">
      <c r="A482" s="18">
        <v>475</v>
      </c>
      <c r="B482" s="9" t="s">
        <v>1413</v>
      </c>
      <c r="C482" s="10" t="s">
        <v>1414</v>
      </c>
      <c r="D482" s="10" t="s">
        <v>1415</v>
      </c>
      <c r="E482" s="8" t="s">
        <v>23</v>
      </c>
      <c r="F482" s="15">
        <v>28050.0</v>
      </c>
      <c r="G482" s="13">
        <f>F482*482</f>
        <v>13520100</v>
      </c>
      <c r="H482" s="18" t="s">
        <v>14</v>
      </c>
    </row>
    <row r="483" spans="1:8" outlineLevel="1">
      <c r="A483" s="18">
        <v>476</v>
      </c>
      <c r="B483" s="9" t="s">
        <v>1416</v>
      </c>
      <c r="C483" s="10" t="s">
        <v>1417</v>
      </c>
      <c r="D483" s="10" t="s">
        <v>1418</v>
      </c>
      <c r="E483" s="8" t="s">
        <v>23</v>
      </c>
      <c r="F483" s="15">
        <v>15264.0</v>
      </c>
      <c r="G483" s="13">
        <f>F483*483</f>
        <v>7372512</v>
      </c>
      <c r="H483" s="18" t="s">
        <v>14</v>
      </c>
    </row>
    <row r="484" spans="1:8" outlineLevel="1">
      <c r="A484" s="18">
        <v>477</v>
      </c>
      <c r="B484" s="9" t="s">
        <v>1419</v>
      </c>
      <c r="C484" s="10" t="s">
        <v>1420</v>
      </c>
      <c r="D484" s="10" t="s">
        <v>1421</v>
      </c>
      <c r="E484" s="8">
        <v>1000.0</v>
      </c>
      <c r="F484" s="15">
        <v>12400.0</v>
      </c>
      <c r="G484" s="13">
        <f>F484*484</f>
        <v>6001600</v>
      </c>
      <c r="H484" s="18" t="s">
        <v>14</v>
      </c>
    </row>
    <row r="485" spans="1:8" outlineLevel="1">
      <c r="A485" s="18">
        <v>478</v>
      </c>
      <c r="B485" s="9" t="s">
        <v>1422</v>
      </c>
      <c r="C485" s="10" t="s">
        <v>1423</v>
      </c>
      <c r="D485" s="10" t="s">
        <v>1424</v>
      </c>
      <c r="E485" s="8">
        <v>1000.0</v>
      </c>
      <c r="F485" s="15">
        <v>61000.0</v>
      </c>
      <c r="G485" s="13">
        <f>F485*485</f>
        <v>29585000</v>
      </c>
      <c r="H485" s="18" t="s">
        <v>14</v>
      </c>
    </row>
    <row r="486" spans="1:8" outlineLevel="1">
      <c r="A486" s="18">
        <v>479</v>
      </c>
      <c r="B486" s="9" t="s">
        <v>1425</v>
      </c>
      <c r="C486" s="10" t="s">
        <v>1426</v>
      </c>
      <c r="D486" s="10" t="s">
        <v>1427</v>
      </c>
      <c r="E486" s="8">
        <v>1000.0</v>
      </c>
      <c r="F486" s="15">
        <v>34184.0</v>
      </c>
      <c r="G486" s="13">
        <f>F486*486</f>
        <v>16613424</v>
      </c>
      <c r="H486" s="18" t="s">
        <v>14</v>
      </c>
    </row>
    <row r="487" spans="1:8" outlineLevel="1">
      <c r="A487" s="18">
        <v>480</v>
      </c>
      <c r="B487" s="9" t="s">
        <v>1428</v>
      </c>
      <c r="C487" s="10" t="s">
        <v>1429</v>
      </c>
      <c r="D487" s="10" t="s">
        <v>1430</v>
      </c>
      <c r="E487" s="8">
        <v>1000.0</v>
      </c>
      <c r="F487" s="15">
        <v>44502.0</v>
      </c>
      <c r="G487" s="13">
        <f>F487*487</f>
        <v>21672474</v>
      </c>
      <c r="H487" s="18" t="s">
        <v>14</v>
      </c>
    </row>
    <row r="488" spans="1:8" outlineLevel="1">
      <c r="A488" s="18">
        <v>481</v>
      </c>
      <c r="B488" s="9" t="s">
        <v>1431</v>
      </c>
      <c r="C488" s="10" t="s">
        <v>1432</v>
      </c>
      <c r="D488" s="10" t="s">
        <v>1433</v>
      </c>
      <c r="E488" s="8">
        <v>1000.0</v>
      </c>
      <c r="F488" s="15">
        <v>24000.0</v>
      </c>
      <c r="G488" s="13">
        <f>F488*488</f>
        <v>11712000</v>
      </c>
      <c r="H488" s="18" t="s">
        <v>14</v>
      </c>
    </row>
    <row r="489" spans="1:8" outlineLevel="1">
      <c r="A489" s="18">
        <v>482</v>
      </c>
      <c r="B489" s="9" t="s">
        <v>1434</v>
      </c>
      <c r="C489" s="10" t="s">
        <v>1435</v>
      </c>
      <c r="D489" s="10" t="s">
        <v>1436</v>
      </c>
      <c r="E489" s="8">
        <v>1000.0</v>
      </c>
      <c r="F489" s="15">
        <v>16500.0</v>
      </c>
      <c r="G489" s="13">
        <f>F489*489</f>
        <v>8068500</v>
      </c>
      <c r="H489" s="18" t="s">
        <v>14</v>
      </c>
    </row>
    <row r="490" spans="1:8" outlineLevel="1">
      <c r="A490" s="18">
        <v>483</v>
      </c>
      <c r="B490" s="9" t="s">
        <v>1437</v>
      </c>
      <c r="C490" s="10" t="s">
        <v>1438</v>
      </c>
      <c r="D490" s="10" t="s">
        <v>1439</v>
      </c>
      <c r="E490" s="8">
        <v>1000.0</v>
      </c>
      <c r="F490" s="15">
        <v>28000.0</v>
      </c>
      <c r="G490" s="13">
        <f>F490*490</f>
        <v>13720000</v>
      </c>
      <c r="H490" s="18" t="s">
        <v>14</v>
      </c>
    </row>
    <row r="491" spans="1:8" outlineLevel="1">
      <c r="A491" s="18">
        <v>484</v>
      </c>
      <c r="B491" s="9" t="s">
        <v>1440</v>
      </c>
      <c r="C491" s="10" t="s">
        <v>1441</v>
      </c>
      <c r="D491" s="10" t="s">
        <v>1442</v>
      </c>
      <c r="E491" s="8">
        <v>1000.0</v>
      </c>
      <c r="F491" s="15">
        <v>25988.0</v>
      </c>
      <c r="G491" s="13">
        <f>F491*491</f>
        <v>12760108</v>
      </c>
      <c r="H491" s="18" t="s">
        <v>14</v>
      </c>
    </row>
    <row r="492" spans="1:8" outlineLevel="1">
      <c r="A492" s="18">
        <v>485</v>
      </c>
      <c r="B492" s="9" t="s">
        <v>1443</v>
      </c>
      <c r="C492" s="10" t="s">
        <v>1444</v>
      </c>
      <c r="D492" s="10" t="s">
        <v>1445</v>
      </c>
      <c r="E492" s="8">
        <v>1000.0</v>
      </c>
      <c r="F492" s="15">
        <v>14000.0</v>
      </c>
      <c r="G492" s="13">
        <f>F492*492</f>
        <v>6888000</v>
      </c>
      <c r="H492" s="18" t="s">
        <v>14</v>
      </c>
    </row>
    <row r="493" spans="1:8" outlineLevel="1">
      <c r="A493" s="18">
        <v>486</v>
      </c>
      <c r="B493" s="9" t="s">
        <v>1446</v>
      </c>
      <c r="C493" s="10" t="s">
        <v>1447</v>
      </c>
      <c r="D493" s="10" t="s">
        <v>1448</v>
      </c>
      <c r="E493" s="8">
        <v>1000.0</v>
      </c>
      <c r="F493" s="15">
        <v>27500.0</v>
      </c>
      <c r="G493" s="13">
        <f>F493*493</f>
        <v>13557500</v>
      </c>
      <c r="H493" s="18" t="s">
        <v>14</v>
      </c>
    </row>
    <row r="494" spans="1:8" outlineLevel="1">
      <c r="A494" s="18">
        <v>487</v>
      </c>
      <c r="B494" s="9" t="s">
        <v>1449</v>
      </c>
      <c r="C494" s="10" t="s">
        <v>1450</v>
      </c>
      <c r="D494" s="10" t="s">
        <v>1451</v>
      </c>
      <c r="E494" s="8">
        <v>1000.0</v>
      </c>
      <c r="F494" s="15">
        <v>23500.0</v>
      </c>
      <c r="G494" s="13">
        <f>F494*494</f>
        <v>11609000</v>
      </c>
      <c r="H494" s="18" t="s">
        <v>14</v>
      </c>
    </row>
    <row r="495" spans="1:8" outlineLevel="1">
      <c r="A495" s="18">
        <v>488</v>
      </c>
      <c r="B495" s="9" t="s">
        <v>1452</v>
      </c>
      <c r="C495" s="10" t="s">
        <v>1453</v>
      </c>
      <c r="D495" s="10" t="s">
        <v>1454</v>
      </c>
      <c r="E495" s="8">
        <v>1000.0</v>
      </c>
      <c r="F495" s="15">
        <v>26000.0</v>
      </c>
      <c r="G495" s="13">
        <f>F495*495</f>
        <v>12870000</v>
      </c>
      <c r="H495" s="18" t="s">
        <v>14</v>
      </c>
    </row>
    <row r="496" spans="1:8" outlineLevel="1">
      <c r="A496" s="18">
        <v>489</v>
      </c>
      <c r="B496" s="9" t="s">
        <v>1455</v>
      </c>
      <c r="C496" s="10" t="s">
        <v>1456</v>
      </c>
      <c r="D496" s="10" t="s">
        <v>1457</v>
      </c>
      <c r="E496" s="8">
        <v>1000.0</v>
      </c>
      <c r="F496" s="15">
        <v>41570.0</v>
      </c>
      <c r="G496" s="13">
        <f>F496*496</f>
        <v>20618720</v>
      </c>
      <c r="H496" s="18" t="s">
        <v>14</v>
      </c>
    </row>
    <row r="497" spans="1:8" outlineLevel="1">
      <c r="A497" s="18">
        <v>490</v>
      </c>
      <c r="B497" s="9" t="s">
        <v>1458</v>
      </c>
      <c r="C497" s="10" t="s">
        <v>1459</v>
      </c>
      <c r="D497" s="10" t="s">
        <v>1460</v>
      </c>
      <c r="E497" s="8">
        <v>1000.0</v>
      </c>
      <c r="F497" s="15">
        <v>64500.0</v>
      </c>
      <c r="G497" s="13">
        <f>F497*497</f>
        <v>32056500</v>
      </c>
      <c r="H497" s="18" t="s">
        <v>14</v>
      </c>
    </row>
    <row r="498" spans="1:8" outlineLevel="1">
      <c r="A498" s="18">
        <v>491</v>
      </c>
      <c r="B498" s="9" t="s">
        <v>1461</v>
      </c>
      <c r="C498" s="10" t="s">
        <v>1462</v>
      </c>
      <c r="D498" s="10" t="s">
        <v>1463</v>
      </c>
      <c r="E498" s="8">
        <v>1000.0</v>
      </c>
      <c r="F498" s="15">
        <v>96500.0</v>
      </c>
      <c r="G498" s="13">
        <f>F498*498</f>
        <v>48057000</v>
      </c>
      <c r="H498" s="18" t="s">
        <v>14</v>
      </c>
    </row>
    <row r="499" spans="1:8" outlineLevel="1">
      <c r="A499" s="18">
        <v>492</v>
      </c>
      <c r="B499" s="9" t="s">
        <v>1464</v>
      </c>
      <c r="C499" s="10" t="s">
        <v>1465</v>
      </c>
      <c r="D499" s="10" t="s">
        <v>1466</v>
      </c>
      <c r="E499" s="8">
        <v>1000.0</v>
      </c>
      <c r="F499" s="15">
        <v>97500.0</v>
      </c>
      <c r="G499" s="13">
        <f>F499*499</f>
        <v>48652500</v>
      </c>
      <c r="H499" s="18" t="s">
        <v>14</v>
      </c>
    </row>
    <row r="500" spans="1:8" outlineLevel="1">
      <c r="A500" s="18">
        <v>493</v>
      </c>
      <c r="B500" s="9" t="s">
        <v>1467</v>
      </c>
      <c r="C500" s="10" t="s">
        <v>1468</v>
      </c>
      <c r="D500" s="10" t="s">
        <v>1469</v>
      </c>
      <c r="E500" s="8">
        <v>1000.0</v>
      </c>
      <c r="F500" s="15">
        <v>51569.0</v>
      </c>
      <c r="G500" s="13">
        <f>F500*500</f>
        <v>25784500</v>
      </c>
      <c r="H500" s="18" t="s">
        <v>14</v>
      </c>
    </row>
    <row r="501" spans="1:8" outlineLevel="1">
      <c r="A501" s="18">
        <v>494</v>
      </c>
      <c r="B501" s="9" t="s">
        <v>1470</v>
      </c>
      <c r="C501" s="10" t="s">
        <v>1471</v>
      </c>
      <c r="D501" s="10" t="s">
        <v>1472</v>
      </c>
      <c r="E501" s="8">
        <v>1000.0</v>
      </c>
      <c r="F501" s="15">
        <v>24524.0</v>
      </c>
      <c r="G501" s="13">
        <f>F501*501</f>
        <v>12286524</v>
      </c>
      <c r="H501" s="18" t="s">
        <v>14</v>
      </c>
    </row>
    <row r="502" spans="1:8" outlineLevel="1">
      <c r="A502" s="18">
        <v>495</v>
      </c>
      <c r="B502" s="9" t="s">
        <v>1473</v>
      </c>
      <c r="C502" s="10" t="s">
        <v>1474</v>
      </c>
      <c r="D502" s="10" t="s">
        <v>1475</v>
      </c>
      <c r="E502" s="8">
        <v>1000.0</v>
      </c>
      <c r="F502" s="15">
        <v>22900.0</v>
      </c>
      <c r="G502" s="13">
        <f>F502*502</f>
        <v>11495800</v>
      </c>
      <c r="H502" s="18" t="s">
        <v>14</v>
      </c>
    </row>
    <row r="503" spans="1:8" outlineLevel="1">
      <c r="A503" s="18">
        <v>496</v>
      </c>
      <c r="B503" s="9" t="s">
        <v>1476</v>
      </c>
      <c r="C503" s="10" t="s">
        <v>1477</v>
      </c>
      <c r="D503" s="10" t="s">
        <v>1478</v>
      </c>
      <c r="E503" s="8">
        <v>1000.0</v>
      </c>
      <c r="F503" s="15">
        <v>9878.0</v>
      </c>
      <c r="G503" s="13">
        <f>F503*503</f>
        <v>4968634</v>
      </c>
      <c r="H503" s="18" t="s">
        <v>14</v>
      </c>
    </row>
    <row r="504" spans="1:8" outlineLevel="1">
      <c r="A504" s="18">
        <v>497</v>
      </c>
      <c r="B504" s="9" t="s">
        <v>1479</v>
      </c>
      <c r="C504" s="10" t="s">
        <v>1480</v>
      </c>
      <c r="D504" s="10" t="s">
        <v>1481</v>
      </c>
      <c r="E504" s="8">
        <v>1000.0</v>
      </c>
      <c r="F504" s="15">
        <v>22900.0</v>
      </c>
      <c r="G504" s="13">
        <f>F504*504</f>
        <v>11541600</v>
      </c>
      <c r="H504" s="18" t="s">
        <v>14</v>
      </c>
    </row>
    <row r="505" spans="1:8" outlineLevel="1">
      <c r="A505" s="18">
        <v>498</v>
      </c>
      <c r="B505" s="9" t="s">
        <v>1482</v>
      </c>
      <c r="C505" s="10" t="s">
        <v>1483</v>
      </c>
      <c r="D505" s="10" t="s">
        <v>1484</v>
      </c>
      <c r="E505" s="8">
        <v>1000.0</v>
      </c>
      <c r="F505" s="15">
        <v>40234.0</v>
      </c>
      <c r="G505" s="13">
        <f>F505*505</f>
        <v>20318170</v>
      </c>
      <c r="H505" s="18" t="s">
        <v>14</v>
      </c>
    </row>
    <row r="506" spans="1:8" outlineLevel="1">
      <c r="A506" s="18">
        <v>499</v>
      </c>
      <c r="B506" s="9" t="s">
        <v>1485</v>
      </c>
      <c r="C506" s="10" t="s">
        <v>1486</v>
      </c>
      <c r="D506" s="10" t="s">
        <v>1487</v>
      </c>
      <c r="E506" s="8" t="s">
        <v>23</v>
      </c>
      <c r="F506" s="15">
        <v>8755.0</v>
      </c>
      <c r="G506" s="13">
        <f>F506*506</f>
        <v>4430030</v>
      </c>
      <c r="H506" s="18" t="s">
        <v>14</v>
      </c>
    </row>
    <row r="507" spans="1:8" outlineLevel="1">
      <c r="A507" s="18">
        <v>500</v>
      </c>
      <c r="B507" s="9" t="s">
        <v>1488</v>
      </c>
      <c r="C507" s="10" t="s">
        <v>1489</v>
      </c>
      <c r="D507" s="10" t="s">
        <v>1490</v>
      </c>
      <c r="E507" s="8" t="s">
        <v>23</v>
      </c>
      <c r="F507" s="15">
        <v>9095.0</v>
      </c>
      <c r="G507" s="13">
        <f>F507*507</f>
        <v>4611165</v>
      </c>
      <c r="H507" s="18" t="s">
        <v>14</v>
      </c>
    </row>
    <row r="508" spans="1:8" outlineLevel="1">
      <c r="A508" s="18">
        <v>501</v>
      </c>
      <c r="B508" s="9" t="s">
        <v>1491</v>
      </c>
      <c r="C508" s="10" t="s">
        <v>1492</v>
      </c>
      <c r="D508" s="10" t="s">
        <v>1493</v>
      </c>
      <c r="E508" s="8" t="s">
        <v>23</v>
      </c>
      <c r="F508" s="15">
        <v>9265.0</v>
      </c>
      <c r="G508" s="13">
        <f>F508*508</f>
        <v>4706620</v>
      </c>
      <c r="H508" s="18" t="s">
        <v>14</v>
      </c>
    </row>
    <row r="509" spans="1:8" outlineLevel="1">
      <c r="A509" s="18">
        <v>502</v>
      </c>
      <c r="B509" s="9"/>
      <c r="C509" s="10" t="s">
        <v>1494</v>
      </c>
      <c r="D509" s="10" t="s">
        <v>1495</v>
      </c>
      <c r="E509" s="8">
        <v>1000.0</v>
      </c>
      <c r="F509" s="15">
        <v>0.0</v>
      </c>
      <c r="G509" s="13">
        <f>F509*509</f>
        <v>0</v>
      </c>
      <c r="H509" s="18" t="s">
        <v>14</v>
      </c>
    </row>
    <row r="510" spans="1:8" outlineLevel="1">
      <c r="A510" s="18">
        <v>503</v>
      </c>
      <c r="B510" s="9" t="s">
        <v>1496</v>
      </c>
      <c r="C510" s="10" t="s">
        <v>1497</v>
      </c>
      <c r="D510" s="10" t="s">
        <v>1498</v>
      </c>
      <c r="E510" s="8" t="s">
        <v>23</v>
      </c>
      <c r="F510" s="15">
        <v>235.0</v>
      </c>
      <c r="G510" s="13">
        <f>F510*510</f>
        <v>119850</v>
      </c>
      <c r="H510" s="18" t="s">
        <v>14</v>
      </c>
    </row>
    <row r="511" spans="1:8" outlineLevel="1">
      <c r="A511" s="18">
        <v>504</v>
      </c>
      <c r="B511" s="9" t="s">
        <v>1499</v>
      </c>
      <c r="C511" s="10" t="s">
        <v>1500</v>
      </c>
      <c r="D511" s="10" t="s">
        <v>1501</v>
      </c>
      <c r="E511" s="8" t="s">
        <v>23</v>
      </c>
      <c r="F511" s="15">
        <v>2088.0</v>
      </c>
      <c r="G511" s="13">
        <f>F511*511</f>
        <v>1066968</v>
      </c>
      <c r="H511" s="18" t="s">
        <v>14</v>
      </c>
    </row>
    <row r="512" spans="1:8" outlineLevel="1">
      <c r="A512" s="18">
        <v>505</v>
      </c>
      <c r="B512" s="9" t="s">
        <v>1502</v>
      </c>
      <c r="C512" s="10" t="s">
        <v>1503</v>
      </c>
      <c r="D512" s="10" t="s">
        <v>1504</v>
      </c>
      <c r="E512" s="8">
        <v>1000.0</v>
      </c>
      <c r="F512" s="15">
        <v>3631.0</v>
      </c>
      <c r="G512" s="13">
        <f>F512*512</f>
        <v>1859072</v>
      </c>
      <c r="H512" s="18" t="s">
        <v>14</v>
      </c>
    </row>
    <row r="513" spans="1:8" outlineLevel="1">
      <c r="A513" s="18">
        <v>506</v>
      </c>
      <c r="B513" s="9" t="s">
        <v>1505</v>
      </c>
      <c r="C513" s="10" t="s">
        <v>1506</v>
      </c>
      <c r="D513" s="10" t="s">
        <v>1507</v>
      </c>
      <c r="E513" s="8" t="s">
        <v>23</v>
      </c>
      <c r="F513" s="15">
        <v>2702.0</v>
      </c>
      <c r="G513" s="13">
        <f>F513*513</f>
        <v>1386126</v>
      </c>
      <c r="H513" s="18" t="s">
        <v>14</v>
      </c>
    </row>
    <row r="514" spans="1:8" outlineLevel="1">
      <c r="A514" s="18">
        <v>507</v>
      </c>
      <c r="B514" s="9" t="s">
        <v>1508</v>
      </c>
      <c r="C514" s="10" t="s">
        <v>1509</v>
      </c>
      <c r="D514" s="10" t="s">
        <v>1510</v>
      </c>
      <c r="E514" s="8">
        <v>1000.0</v>
      </c>
      <c r="F514" s="15">
        <v>2686.0</v>
      </c>
      <c r="G514" s="13">
        <f>F514*514</f>
        <v>1380604</v>
      </c>
      <c r="H514" s="18" t="s">
        <v>14</v>
      </c>
    </row>
    <row r="515" spans="1:8" outlineLevel="1">
      <c r="A515" s="18">
        <v>508</v>
      </c>
      <c r="B515" s="9" t="s">
        <v>1511</v>
      </c>
      <c r="C515" s="10" t="s">
        <v>1512</v>
      </c>
      <c r="D515" s="10" t="s">
        <v>1513</v>
      </c>
      <c r="E515" s="8" t="s">
        <v>23</v>
      </c>
      <c r="F515" s="15">
        <v>121.0</v>
      </c>
      <c r="G515" s="13">
        <f>F515*515</f>
        <v>62315</v>
      </c>
      <c r="H515" s="18" t="s">
        <v>14</v>
      </c>
    </row>
    <row r="516" spans="1:8" outlineLevel="1">
      <c r="A516" s="18">
        <v>509</v>
      </c>
      <c r="B516" s="9" t="s">
        <v>1514</v>
      </c>
      <c r="C516" s="10" t="s">
        <v>1515</v>
      </c>
      <c r="D516" s="10" t="s">
        <v>1516</v>
      </c>
      <c r="E516" s="8" t="s">
        <v>23</v>
      </c>
      <c r="F516" s="15">
        <v>924.0</v>
      </c>
      <c r="G516" s="13">
        <f>F516*516</f>
        <v>476784</v>
      </c>
      <c r="H516" s="18" t="s">
        <v>14</v>
      </c>
    </row>
    <row r="517" spans="1:8" outlineLevel="1">
      <c r="A517" s="18">
        <v>510</v>
      </c>
      <c r="B517" s="9" t="s">
        <v>1517</v>
      </c>
      <c r="C517" s="10" t="s">
        <v>1518</v>
      </c>
      <c r="D517" s="10" t="s">
        <v>1519</v>
      </c>
      <c r="E517" s="8" t="s">
        <v>23</v>
      </c>
      <c r="F517" s="15">
        <v>182.0</v>
      </c>
      <c r="G517" s="13">
        <f>F517*517</f>
        <v>94094</v>
      </c>
      <c r="H517" s="18" t="s">
        <v>14</v>
      </c>
    </row>
    <row r="518" spans="1:8" outlineLevel="1">
      <c r="A518" s="18">
        <v>511</v>
      </c>
      <c r="B518" s="9" t="s">
        <v>1520</v>
      </c>
      <c r="C518" s="10" t="s">
        <v>1521</v>
      </c>
      <c r="D518" s="10" t="s">
        <v>1522</v>
      </c>
      <c r="E518" s="8" t="s">
        <v>23</v>
      </c>
      <c r="F518" s="15">
        <v>615.0</v>
      </c>
      <c r="G518" s="13">
        <f>F518*518</f>
        <v>318570</v>
      </c>
      <c r="H518" s="18" t="s">
        <v>14</v>
      </c>
    </row>
    <row r="519" spans="1:8" outlineLevel="1">
      <c r="A519" s="18">
        <v>512</v>
      </c>
      <c r="B519" s="9" t="s">
        <v>1523</v>
      </c>
      <c r="C519" s="10" t="s">
        <v>1521</v>
      </c>
      <c r="D519" s="10" t="s">
        <v>1524</v>
      </c>
      <c r="E519" s="8" t="s">
        <v>23</v>
      </c>
      <c r="F519" s="15">
        <v>566.0</v>
      </c>
      <c r="G519" s="13">
        <f>F519*519</f>
        <v>293754</v>
      </c>
      <c r="H519" s="18" t="s">
        <v>14</v>
      </c>
    </row>
    <row r="520" spans="1:8" outlineLevel="1">
      <c r="A520" s="18">
        <v>513</v>
      </c>
      <c r="B520" s="9" t="s">
        <v>1525</v>
      </c>
      <c r="C520" s="10" t="s">
        <v>1526</v>
      </c>
      <c r="D520" s="10" t="s">
        <v>1527</v>
      </c>
      <c r="E520" s="8" t="s">
        <v>23</v>
      </c>
      <c r="F520" s="15">
        <v>602.0</v>
      </c>
      <c r="G520" s="13">
        <f>F520*520</f>
        <v>313040</v>
      </c>
      <c r="H520" s="18" t="s">
        <v>14</v>
      </c>
    </row>
    <row r="521" spans="1:8" outlineLevel="1">
      <c r="A521" s="18">
        <v>514</v>
      </c>
      <c r="B521" s="9" t="s">
        <v>1528</v>
      </c>
      <c r="C521" s="10" t="s">
        <v>1529</v>
      </c>
      <c r="D521" s="10" t="s">
        <v>1530</v>
      </c>
      <c r="E521" s="8" t="s">
        <v>23</v>
      </c>
      <c r="F521" s="15">
        <v>845.0</v>
      </c>
      <c r="G521" s="13">
        <f>F521*521</f>
        <v>440245</v>
      </c>
      <c r="H521" s="18" t="s">
        <v>14</v>
      </c>
    </row>
    <row r="522" spans="1:8" outlineLevel="1">
      <c r="A522" s="18">
        <v>515</v>
      </c>
      <c r="B522" s="9" t="s">
        <v>1531</v>
      </c>
      <c r="C522" s="10" t="s">
        <v>1532</v>
      </c>
      <c r="D522" s="10" t="s">
        <v>1533</v>
      </c>
      <c r="E522" s="8" t="s">
        <v>23</v>
      </c>
      <c r="F522" s="15">
        <v>344.0</v>
      </c>
      <c r="G522" s="13">
        <f>F522*522</f>
        <v>179568</v>
      </c>
      <c r="H522" s="18" t="s">
        <v>14</v>
      </c>
    </row>
    <row r="523" spans="1:8" outlineLevel="1">
      <c r="A523" s="18">
        <v>516</v>
      </c>
      <c r="B523" s="9" t="s">
        <v>1534</v>
      </c>
      <c r="C523" s="10" t="s">
        <v>1535</v>
      </c>
      <c r="D523" s="10" t="s">
        <v>1536</v>
      </c>
      <c r="E523" s="8" t="s">
        <v>23</v>
      </c>
      <c r="F523" s="15">
        <v>351.0</v>
      </c>
      <c r="G523" s="13">
        <f>F523*523</f>
        <v>183573</v>
      </c>
      <c r="H523" s="18" t="s">
        <v>14</v>
      </c>
    </row>
    <row r="524" spans="1:8" outlineLevel="1">
      <c r="A524" s="18">
        <v>517</v>
      </c>
      <c r="B524" s="9"/>
      <c r="C524" s="10" t="s">
        <v>1537</v>
      </c>
      <c r="D524" s="10" t="s">
        <v>1538</v>
      </c>
      <c r="E524" s="8">
        <v>1000.0</v>
      </c>
      <c r="F524" s="15">
        <v>3409.0</v>
      </c>
      <c r="G524" s="13">
        <f>F524*524</f>
        <v>1786316</v>
      </c>
      <c r="H524" s="18" t="s">
        <v>14</v>
      </c>
    </row>
    <row r="525" spans="1:8" outlineLevel="1">
      <c r="A525" s="18">
        <v>518</v>
      </c>
      <c r="B525" s="9" t="s">
        <v>1539</v>
      </c>
      <c r="C525" s="10" t="s">
        <v>1540</v>
      </c>
      <c r="D525" s="10" t="s">
        <v>1541</v>
      </c>
      <c r="E525" s="8" t="s">
        <v>23</v>
      </c>
      <c r="F525" s="15">
        <v>5296.0</v>
      </c>
      <c r="G525" s="13">
        <f>F525*525</f>
        <v>2780400</v>
      </c>
      <c r="H525" s="18" t="s">
        <v>14</v>
      </c>
    </row>
    <row r="526" spans="1:8" outlineLevel="1">
      <c r="A526" s="18">
        <v>519</v>
      </c>
      <c r="B526" s="9" t="s">
        <v>1542</v>
      </c>
      <c r="C526" s="10" t="s">
        <v>1543</v>
      </c>
      <c r="D526" s="10" t="s">
        <v>1544</v>
      </c>
      <c r="E526" s="8" t="s">
        <v>23</v>
      </c>
      <c r="F526" s="15">
        <v>3526.0</v>
      </c>
      <c r="G526" s="13">
        <f>F526*526</f>
        <v>1854676</v>
      </c>
      <c r="H526" s="18" t="s">
        <v>14</v>
      </c>
    </row>
    <row r="527" spans="1:8" outlineLevel="1">
      <c r="A527" s="18">
        <v>520</v>
      </c>
      <c r="B527" s="9" t="s">
        <v>1545</v>
      </c>
      <c r="C527" s="10" t="s">
        <v>1546</v>
      </c>
      <c r="D527" s="10" t="s">
        <v>1547</v>
      </c>
      <c r="E527" s="8" t="s">
        <v>23</v>
      </c>
      <c r="F527" s="15">
        <v>614.0</v>
      </c>
      <c r="G527" s="13">
        <f>F527*527</f>
        <v>323578</v>
      </c>
      <c r="H527" s="18" t="s">
        <v>14</v>
      </c>
    </row>
    <row r="528" spans="1:8" outlineLevel="1">
      <c r="A528" s="18">
        <v>521</v>
      </c>
      <c r="B528" s="9" t="s">
        <v>1548</v>
      </c>
      <c r="C528" s="10" t="s">
        <v>1549</v>
      </c>
      <c r="D528" s="10" t="s">
        <v>1550</v>
      </c>
      <c r="E528" s="8" t="s">
        <v>23</v>
      </c>
      <c r="F528" s="15">
        <v>1140.0</v>
      </c>
      <c r="G528" s="13">
        <f>F528*528</f>
        <v>601920</v>
      </c>
      <c r="H528" s="18" t="s">
        <v>14</v>
      </c>
    </row>
    <row r="529" spans="1:8" outlineLevel="1">
      <c r="A529" s="18">
        <v>522</v>
      </c>
      <c r="B529" s="9" t="s">
        <v>1551</v>
      </c>
      <c r="C529" s="10" t="s">
        <v>1549</v>
      </c>
      <c r="D529" s="10" t="s">
        <v>1552</v>
      </c>
      <c r="E529" s="8">
        <v>1000.0</v>
      </c>
      <c r="F529" s="15">
        <v>773.0</v>
      </c>
      <c r="G529" s="13">
        <f>F529*529</f>
        <v>408917</v>
      </c>
      <c r="H529" s="18" t="s">
        <v>14</v>
      </c>
    </row>
    <row r="530" spans="1:8" outlineLevel="1">
      <c r="A530" s="18">
        <v>523</v>
      </c>
      <c r="B530" s="9" t="s">
        <v>1553</v>
      </c>
      <c r="C530" s="10" t="s">
        <v>1554</v>
      </c>
      <c r="D530" s="10" t="s">
        <v>1555</v>
      </c>
      <c r="E530" s="8" t="s">
        <v>23</v>
      </c>
      <c r="F530" s="15">
        <v>3271.0</v>
      </c>
      <c r="G530" s="13">
        <f>F530*530</f>
        <v>1733630</v>
      </c>
      <c r="H530" s="18" t="s">
        <v>14</v>
      </c>
    </row>
    <row r="531" spans="1:8" outlineLevel="1">
      <c r="A531" s="18">
        <v>524</v>
      </c>
      <c r="B531" s="9" t="s">
        <v>1556</v>
      </c>
      <c r="C531" s="10" t="s">
        <v>1557</v>
      </c>
      <c r="D531" s="10" t="s">
        <v>1558</v>
      </c>
      <c r="E531" s="8" t="s">
        <v>23</v>
      </c>
      <c r="F531" s="15">
        <v>576.0</v>
      </c>
      <c r="G531" s="13">
        <f>F531*531</f>
        <v>305856</v>
      </c>
      <c r="H531" s="18" t="s">
        <v>14</v>
      </c>
    </row>
    <row r="532" spans="1:8" outlineLevel="1">
      <c r="A532" s="18">
        <v>525</v>
      </c>
      <c r="B532" s="9" t="s">
        <v>1559</v>
      </c>
      <c r="C532" s="10" t="s">
        <v>1560</v>
      </c>
      <c r="D532" s="10" t="s">
        <v>1561</v>
      </c>
      <c r="E532" s="8">
        <v>1000.0</v>
      </c>
      <c r="F532" s="15">
        <v>553.0</v>
      </c>
      <c r="G532" s="13">
        <f>F532*532</f>
        <v>294196</v>
      </c>
      <c r="H532" s="18" t="s">
        <v>14</v>
      </c>
    </row>
    <row r="533" spans="1:8" outlineLevel="1">
      <c r="A533" s="18">
        <v>526</v>
      </c>
      <c r="B533" s="9" t="s">
        <v>1562</v>
      </c>
      <c r="C533" s="10" t="s">
        <v>1563</v>
      </c>
      <c r="D533" s="10" t="s">
        <v>1564</v>
      </c>
      <c r="E533" s="8" t="s">
        <v>23</v>
      </c>
      <c r="F533" s="15">
        <v>666.0</v>
      </c>
      <c r="G533" s="13">
        <f>F533*533</f>
        <v>354978</v>
      </c>
      <c r="H533" s="18" t="s">
        <v>14</v>
      </c>
    </row>
    <row r="534" spans="1:8" outlineLevel="1">
      <c r="A534" s="18">
        <v>527</v>
      </c>
      <c r="B534" s="9" t="s">
        <v>1565</v>
      </c>
      <c r="C534" s="10" t="s">
        <v>1563</v>
      </c>
      <c r="D534" s="10" t="s">
        <v>1566</v>
      </c>
      <c r="E534" s="8" t="s">
        <v>23</v>
      </c>
      <c r="F534" s="15">
        <v>1291.0</v>
      </c>
      <c r="G534" s="13">
        <f>F534*534</f>
        <v>689394</v>
      </c>
      <c r="H534" s="18" t="s">
        <v>14</v>
      </c>
    </row>
    <row r="535" spans="1:8" outlineLevel="1">
      <c r="A535" s="18">
        <v>528</v>
      </c>
      <c r="B535" s="9" t="s">
        <v>1567</v>
      </c>
      <c r="C535" s="10" t="s">
        <v>1568</v>
      </c>
      <c r="D535" s="10" t="s">
        <v>1569</v>
      </c>
      <c r="E535" s="8">
        <v>1000.0</v>
      </c>
      <c r="F535" s="15">
        <v>5581.0</v>
      </c>
      <c r="G535" s="13">
        <f>F535*535</f>
        <v>2985835</v>
      </c>
      <c r="H535" s="18" t="s">
        <v>14</v>
      </c>
    </row>
    <row r="536" spans="1:8" outlineLevel="1">
      <c r="A536" s="18">
        <v>529</v>
      </c>
      <c r="B536" s="9" t="s">
        <v>1570</v>
      </c>
      <c r="C536" s="10" t="s">
        <v>1571</v>
      </c>
      <c r="D536" s="10" t="s">
        <v>1572</v>
      </c>
      <c r="E536" s="8">
        <v>1000.0</v>
      </c>
      <c r="F536" s="15">
        <v>5779.0</v>
      </c>
      <c r="G536" s="13">
        <f>F536*536</f>
        <v>3097544</v>
      </c>
      <c r="H536" s="18" t="s">
        <v>14</v>
      </c>
    </row>
    <row r="537" spans="1:8" outlineLevel="1">
      <c r="A537" s="18">
        <v>530</v>
      </c>
      <c r="B537" s="9" t="s">
        <v>1573</v>
      </c>
      <c r="C537" s="10" t="s">
        <v>1574</v>
      </c>
      <c r="D537" s="10" t="s">
        <v>1575</v>
      </c>
      <c r="E537" s="8" t="s">
        <v>23</v>
      </c>
      <c r="F537" s="15">
        <v>6426.0</v>
      </c>
      <c r="G537" s="13">
        <f>F537*537</f>
        <v>3450762</v>
      </c>
      <c r="H537" s="18" t="s">
        <v>14</v>
      </c>
    </row>
    <row r="538" spans="1:8" outlineLevel="1">
      <c r="A538" s="18">
        <v>531</v>
      </c>
      <c r="B538" s="9" t="s">
        <v>1576</v>
      </c>
      <c r="C538" s="10" t="s">
        <v>1577</v>
      </c>
      <c r="D538" s="10" t="s">
        <v>1578</v>
      </c>
      <c r="E538" s="8" t="s">
        <v>23</v>
      </c>
      <c r="F538" s="15">
        <v>903.0</v>
      </c>
      <c r="G538" s="13">
        <f>F538*538</f>
        <v>485814</v>
      </c>
      <c r="H538" s="18" t="s">
        <v>14</v>
      </c>
    </row>
    <row r="539" spans="1:8" outlineLevel="1">
      <c r="A539" s="18">
        <v>532</v>
      </c>
      <c r="B539" s="9" t="s">
        <v>1579</v>
      </c>
      <c r="C539" s="10" t="s">
        <v>1580</v>
      </c>
      <c r="D539" s="10" t="s">
        <v>1581</v>
      </c>
      <c r="E539" s="8">
        <v>1000.0</v>
      </c>
      <c r="F539" s="15">
        <v>550.0</v>
      </c>
      <c r="G539" s="13">
        <f>F539*539</f>
        <v>296450</v>
      </c>
      <c r="H539" s="18" t="s">
        <v>14</v>
      </c>
    </row>
    <row r="540" spans="1:8" outlineLevel="1">
      <c r="A540" s="18">
        <v>533</v>
      </c>
      <c r="B540" s="9" t="s">
        <v>1582</v>
      </c>
      <c r="C540" s="10" t="s">
        <v>1583</v>
      </c>
      <c r="D540" s="10" t="s">
        <v>1584</v>
      </c>
      <c r="E540" s="8">
        <v>1000.0</v>
      </c>
      <c r="F540" s="15">
        <v>615.0</v>
      </c>
      <c r="G540" s="13">
        <f>F540*540</f>
        <v>332100</v>
      </c>
      <c r="H540" s="18" t="s">
        <v>14</v>
      </c>
    </row>
    <row r="541" spans="1:8" outlineLevel="1">
      <c r="A541" s="18">
        <v>534</v>
      </c>
      <c r="B541" s="9" t="s">
        <v>1585</v>
      </c>
      <c r="C541" s="10" t="s">
        <v>1586</v>
      </c>
      <c r="D541" s="10" t="s">
        <v>1587</v>
      </c>
      <c r="E541" s="8">
        <v>1000.0</v>
      </c>
      <c r="F541" s="15">
        <v>770.0</v>
      </c>
      <c r="G541" s="13">
        <f>F541*541</f>
        <v>416570</v>
      </c>
      <c r="H541" s="18" t="s">
        <v>14</v>
      </c>
    </row>
    <row r="542" spans="1:8" outlineLevel="1">
      <c r="A542" s="18">
        <v>535</v>
      </c>
      <c r="B542" s="9" t="s">
        <v>1588</v>
      </c>
      <c r="C542" s="10" t="s">
        <v>1589</v>
      </c>
      <c r="D542" s="10" t="s">
        <v>1590</v>
      </c>
      <c r="E542" s="8">
        <v>1000.0</v>
      </c>
      <c r="F542" s="15">
        <v>1179.0</v>
      </c>
      <c r="G542" s="13">
        <f>F542*542</f>
        <v>639018</v>
      </c>
      <c r="H542" s="18" t="s">
        <v>14</v>
      </c>
    </row>
    <row r="543" spans="1:8" outlineLevel="1">
      <c r="A543" s="18">
        <v>536</v>
      </c>
      <c r="B543" s="9" t="s">
        <v>1591</v>
      </c>
      <c r="C543" s="10" t="s">
        <v>1592</v>
      </c>
      <c r="D543" s="10" t="s">
        <v>1593</v>
      </c>
      <c r="E543" s="8">
        <v>1000.0</v>
      </c>
      <c r="F543" s="15">
        <v>1430.0</v>
      </c>
      <c r="G543" s="13">
        <f>F543*543</f>
        <v>776490</v>
      </c>
      <c r="H543" s="18" t="s">
        <v>14</v>
      </c>
    </row>
    <row r="544" spans="1:8" outlineLevel="1">
      <c r="A544" s="18">
        <v>537</v>
      </c>
      <c r="B544" s="9" t="s">
        <v>1594</v>
      </c>
      <c r="C544" s="10" t="s">
        <v>1595</v>
      </c>
      <c r="D544" s="10" t="s">
        <v>1596</v>
      </c>
      <c r="E544" s="8">
        <v>1000.0</v>
      </c>
      <c r="F544" s="15">
        <v>950.0</v>
      </c>
      <c r="G544" s="13">
        <f>F544*544</f>
        <v>516800</v>
      </c>
      <c r="H544" s="18" t="s">
        <v>14</v>
      </c>
    </row>
    <row r="545" spans="1:8" outlineLevel="1">
      <c r="A545" s="18">
        <v>538</v>
      </c>
      <c r="B545" s="9" t="s">
        <v>1597</v>
      </c>
      <c r="C545" s="10" t="s">
        <v>1598</v>
      </c>
      <c r="D545" s="10" t="s">
        <v>1599</v>
      </c>
      <c r="E545" s="8">
        <v>1000.0</v>
      </c>
      <c r="F545" s="15">
        <v>1350.0</v>
      </c>
      <c r="G545" s="13">
        <f>F545*545</f>
        <v>735750</v>
      </c>
      <c r="H545" s="18" t="s">
        <v>14</v>
      </c>
    </row>
    <row r="546" spans="1:8" outlineLevel="1">
      <c r="A546" s="18">
        <v>539</v>
      </c>
      <c r="B546" s="9"/>
      <c r="C546" s="10" t="s">
        <v>1600</v>
      </c>
      <c r="D546" s="10" t="s">
        <v>1601</v>
      </c>
      <c r="E546" s="8">
        <v>1000.0</v>
      </c>
      <c r="F546" s="15">
        <v>0.0</v>
      </c>
      <c r="G546" s="13">
        <f>F546*546</f>
        <v>0</v>
      </c>
      <c r="H546" s="18" t="s">
        <v>14</v>
      </c>
    </row>
    <row r="547" spans="1:8" outlineLevel="1">
      <c r="A547" s="18">
        <v>540</v>
      </c>
      <c r="B547" s="9" t="s">
        <v>1602</v>
      </c>
      <c r="C547" s="10" t="s">
        <v>1603</v>
      </c>
      <c r="D547" s="10" t="s">
        <v>1604</v>
      </c>
      <c r="E547" s="8" t="s">
        <v>23</v>
      </c>
      <c r="F547" s="15">
        <v>1250.0</v>
      </c>
      <c r="G547" s="13">
        <f>F547*547</f>
        <v>683750</v>
      </c>
      <c r="H547" s="18" t="s">
        <v>14</v>
      </c>
    </row>
    <row r="548" spans="1:8" outlineLevel="1">
      <c r="A548" s="18">
        <v>541</v>
      </c>
      <c r="B548" s="9" t="s">
        <v>1605</v>
      </c>
      <c r="C548" s="10" t="s">
        <v>1606</v>
      </c>
      <c r="D548" s="10" t="s">
        <v>1607</v>
      </c>
      <c r="E548" s="8" t="s">
        <v>23</v>
      </c>
      <c r="F548" s="15">
        <v>5166.0</v>
      </c>
      <c r="G548" s="13">
        <f>F548*548</f>
        <v>2830968</v>
      </c>
      <c r="H548" s="18" t="s">
        <v>14</v>
      </c>
    </row>
    <row r="549" spans="1:8" outlineLevel="1">
      <c r="A549" s="18">
        <v>542</v>
      </c>
      <c r="B549" s="9" t="s">
        <v>1608</v>
      </c>
      <c r="C549" s="10" t="s">
        <v>1609</v>
      </c>
      <c r="D549" s="10" t="s">
        <v>1610</v>
      </c>
      <c r="E549" s="8" t="s">
        <v>23</v>
      </c>
      <c r="F549" s="15">
        <v>812.0</v>
      </c>
      <c r="G549" s="13">
        <f>F549*549</f>
        <v>445788</v>
      </c>
      <c r="H549" s="18" t="s">
        <v>14</v>
      </c>
    </row>
    <row r="550" spans="1:8" outlineLevel="1">
      <c r="A550" s="18">
        <v>543</v>
      </c>
      <c r="B550" s="9" t="s">
        <v>1611</v>
      </c>
      <c r="C550" s="10" t="s">
        <v>1612</v>
      </c>
      <c r="D550" s="10" t="s">
        <v>1613</v>
      </c>
      <c r="E550" s="8" t="s">
        <v>23</v>
      </c>
      <c r="F550" s="15">
        <v>942.0</v>
      </c>
      <c r="G550" s="13">
        <f>F550*550</f>
        <v>518100</v>
      </c>
      <c r="H550" s="18" t="s">
        <v>14</v>
      </c>
    </row>
    <row r="551" spans="1:8" outlineLevel="1">
      <c r="A551" s="18">
        <v>544</v>
      </c>
      <c r="B551" s="9" t="s">
        <v>1614</v>
      </c>
      <c r="C551" s="10" t="s">
        <v>1615</v>
      </c>
      <c r="D551" s="10" t="s">
        <v>1616</v>
      </c>
      <c r="E551" s="8" t="s">
        <v>23</v>
      </c>
      <c r="F551" s="15">
        <v>1308.0</v>
      </c>
      <c r="G551" s="13">
        <f>F551*551</f>
        <v>720708</v>
      </c>
      <c r="H551" s="18" t="s">
        <v>14</v>
      </c>
    </row>
    <row r="552" spans="1:8" outlineLevel="1">
      <c r="A552" s="18">
        <v>545</v>
      </c>
      <c r="B552" s="9" t="s">
        <v>1617</v>
      </c>
      <c r="C552" s="10" t="s">
        <v>1618</v>
      </c>
      <c r="D552" s="10" t="s">
        <v>1619</v>
      </c>
      <c r="E552" s="8" t="s">
        <v>23</v>
      </c>
      <c r="F552" s="15">
        <v>924.0</v>
      </c>
      <c r="G552" s="13">
        <f>F552*552</f>
        <v>510048</v>
      </c>
      <c r="H552" s="18" t="s">
        <v>14</v>
      </c>
    </row>
    <row r="553" spans="1:8" outlineLevel="1">
      <c r="A553" s="18">
        <v>546</v>
      </c>
      <c r="B553" s="9" t="s">
        <v>1620</v>
      </c>
      <c r="C553" s="10" t="s">
        <v>1621</v>
      </c>
      <c r="D553" s="10" t="s">
        <v>1622</v>
      </c>
      <c r="E553" s="8" t="s">
        <v>23</v>
      </c>
      <c r="F553" s="15">
        <v>981.0</v>
      </c>
      <c r="G553" s="13">
        <f>F553*553</f>
        <v>542493</v>
      </c>
      <c r="H553" s="18" t="s">
        <v>14</v>
      </c>
    </row>
    <row r="554" spans="1:8" outlineLevel="1">
      <c r="A554" s="18">
        <v>547</v>
      </c>
      <c r="B554" s="9" t="s">
        <v>1623</v>
      </c>
      <c r="C554" s="10" t="s">
        <v>1624</v>
      </c>
      <c r="D554" s="10" t="s">
        <v>1625</v>
      </c>
      <c r="E554" s="8" t="s">
        <v>23</v>
      </c>
      <c r="F554" s="15">
        <v>574.0</v>
      </c>
      <c r="G554" s="13">
        <f>F554*554</f>
        <v>317996</v>
      </c>
      <c r="H554" s="18" t="s">
        <v>14</v>
      </c>
    </row>
    <row r="555" spans="1:8" outlineLevel="1">
      <c r="A555" s="18">
        <v>548</v>
      </c>
      <c r="B555" s="9" t="s">
        <v>1626</v>
      </c>
      <c r="C555" s="10" t="s">
        <v>1627</v>
      </c>
      <c r="D555" s="10" t="s">
        <v>1628</v>
      </c>
      <c r="E555" s="8">
        <v>1000.0</v>
      </c>
      <c r="F555" s="15">
        <v>1031.0</v>
      </c>
      <c r="G555" s="13">
        <f>F555*555</f>
        <v>572205</v>
      </c>
      <c r="H555" s="18" t="s">
        <v>14</v>
      </c>
    </row>
    <row r="556" spans="1:8" outlineLevel="1">
      <c r="A556" s="18">
        <v>549</v>
      </c>
      <c r="B556" s="9" t="s">
        <v>1629</v>
      </c>
      <c r="C556" s="10" t="s">
        <v>1630</v>
      </c>
      <c r="D556" s="10" t="s">
        <v>1631</v>
      </c>
      <c r="E556" s="8">
        <v>1000.0</v>
      </c>
      <c r="F556" s="15">
        <v>711.0</v>
      </c>
      <c r="G556" s="13">
        <f>F556*556</f>
        <v>395316</v>
      </c>
      <c r="H556" s="18" t="s">
        <v>14</v>
      </c>
    </row>
    <row r="557" spans="1:8" outlineLevel="1">
      <c r="A557" s="18">
        <v>550</v>
      </c>
      <c r="B557" s="9" t="s">
        <v>1632</v>
      </c>
      <c r="C557" s="10" t="s">
        <v>1633</v>
      </c>
      <c r="D557" s="10" t="s">
        <v>1634</v>
      </c>
      <c r="E557" s="8">
        <v>1000.0</v>
      </c>
      <c r="F557" s="15">
        <v>683.0</v>
      </c>
      <c r="G557" s="13">
        <f>F557*557</f>
        <v>380431</v>
      </c>
      <c r="H557" s="18" t="s">
        <v>14</v>
      </c>
    </row>
    <row r="558" spans="1:8" outlineLevel="1">
      <c r="A558" s="18">
        <v>551</v>
      </c>
      <c r="B558" s="9" t="s">
        <v>1635</v>
      </c>
      <c r="C558" s="10" t="s">
        <v>1636</v>
      </c>
      <c r="D558" s="10" t="s">
        <v>1637</v>
      </c>
      <c r="E558" s="8">
        <v>1000.0</v>
      </c>
      <c r="F558" s="15">
        <v>645.0</v>
      </c>
      <c r="G558" s="13">
        <f>F558*558</f>
        <v>359910</v>
      </c>
      <c r="H558" s="18" t="s">
        <v>14</v>
      </c>
    </row>
    <row r="559" spans="1:8" outlineLevel="1">
      <c r="A559" s="18">
        <v>552</v>
      </c>
      <c r="B559" s="9" t="s">
        <v>1638</v>
      </c>
      <c r="C559" s="10" t="s">
        <v>1639</v>
      </c>
      <c r="D559" s="10" t="s">
        <v>1640</v>
      </c>
      <c r="E559" s="8" t="s">
        <v>23</v>
      </c>
      <c r="F559" s="15">
        <v>1201.0</v>
      </c>
      <c r="G559" s="13">
        <f>F559*559</f>
        <v>671359</v>
      </c>
      <c r="H559" s="18" t="s">
        <v>14</v>
      </c>
    </row>
    <row r="560" spans="1:8" outlineLevel="1">
      <c r="A560" s="18">
        <v>553</v>
      </c>
      <c r="B560" s="9" t="s">
        <v>1641</v>
      </c>
      <c r="C560" s="10" t="s">
        <v>1642</v>
      </c>
      <c r="D560" s="10" t="s">
        <v>1643</v>
      </c>
      <c r="E560" s="8" t="s">
        <v>23</v>
      </c>
      <c r="F560" s="15">
        <v>1098.0</v>
      </c>
      <c r="G560" s="13">
        <f>F560*560</f>
        <v>614880</v>
      </c>
      <c r="H560" s="18" t="s">
        <v>14</v>
      </c>
    </row>
    <row r="561" spans="1:8" outlineLevel="1">
      <c r="A561" s="18">
        <v>554</v>
      </c>
      <c r="B561" s="9" t="s">
        <v>1644</v>
      </c>
      <c r="C561" s="10" t="s">
        <v>1645</v>
      </c>
      <c r="D561" s="10" t="s">
        <v>1646</v>
      </c>
      <c r="E561" s="8" t="s">
        <v>23</v>
      </c>
      <c r="F561" s="15">
        <v>1938.0</v>
      </c>
      <c r="G561" s="13">
        <f>F561*561</f>
        <v>1087218</v>
      </c>
      <c r="H561" s="18" t="s">
        <v>14</v>
      </c>
    </row>
    <row r="562" spans="1:8" outlineLevel="1">
      <c r="A562" s="18">
        <v>555</v>
      </c>
      <c r="B562" s="9" t="s">
        <v>1647</v>
      </c>
      <c r="C562" s="10" t="s">
        <v>1648</v>
      </c>
      <c r="D562" s="10" t="s">
        <v>1649</v>
      </c>
      <c r="E562" s="8" t="s">
        <v>23</v>
      </c>
      <c r="F562" s="15">
        <v>1689.0</v>
      </c>
      <c r="G562" s="13">
        <f>F562*562</f>
        <v>949218</v>
      </c>
      <c r="H562" s="18" t="s">
        <v>14</v>
      </c>
    </row>
    <row r="563" spans="1:8" outlineLevel="1">
      <c r="A563" s="18">
        <v>556</v>
      </c>
      <c r="B563" s="9" t="s">
        <v>1650</v>
      </c>
      <c r="C563" s="10" t="s">
        <v>1651</v>
      </c>
      <c r="D563" s="10" t="s">
        <v>1652</v>
      </c>
      <c r="E563" s="8">
        <v>1000.0</v>
      </c>
      <c r="F563" s="15">
        <v>1088.0</v>
      </c>
      <c r="G563" s="13">
        <f>F563*563</f>
        <v>612544</v>
      </c>
      <c r="H563" s="18" t="s">
        <v>14</v>
      </c>
    </row>
    <row r="564" spans="1:8" outlineLevel="1">
      <c r="A564" s="18">
        <v>557</v>
      </c>
      <c r="B564" s="9" t="s">
        <v>1653</v>
      </c>
      <c r="C564" s="10" t="s">
        <v>1654</v>
      </c>
      <c r="D564" s="10" t="s">
        <v>1655</v>
      </c>
      <c r="E564" s="8">
        <v>1000.0</v>
      </c>
      <c r="F564" s="15">
        <v>1093.0</v>
      </c>
      <c r="G564" s="13">
        <f>F564*564</f>
        <v>616452</v>
      </c>
      <c r="H564" s="18" t="s">
        <v>14</v>
      </c>
    </row>
    <row r="565" spans="1:8" outlineLevel="1">
      <c r="A565" s="18">
        <v>558</v>
      </c>
      <c r="B565" s="9" t="s">
        <v>1656</v>
      </c>
      <c r="C565" s="10" t="s">
        <v>1657</v>
      </c>
      <c r="D565" s="10" t="s">
        <v>1658</v>
      </c>
      <c r="E565" s="8">
        <v>1000.0</v>
      </c>
      <c r="F565" s="15">
        <v>437.0</v>
      </c>
      <c r="G565" s="13">
        <f>F565*565</f>
        <v>246905</v>
      </c>
      <c r="H565" s="18" t="s">
        <v>14</v>
      </c>
    </row>
    <row r="566" spans="1:8" outlineLevel="1">
      <c r="A566" s="18">
        <v>559</v>
      </c>
      <c r="B566" s="9" t="s">
        <v>1659</v>
      </c>
      <c r="C566" s="10" t="s">
        <v>1660</v>
      </c>
      <c r="D566" s="10" t="s">
        <v>1661</v>
      </c>
      <c r="E566" s="8">
        <v>1000.0</v>
      </c>
      <c r="F566" s="15">
        <v>951.0</v>
      </c>
      <c r="G566" s="13">
        <f>F566*566</f>
        <v>538266</v>
      </c>
      <c r="H566" s="18" t="s">
        <v>14</v>
      </c>
    </row>
    <row r="567" spans="1:8" outlineLevel="1">
      <c r="A567" s="18">
        <v>560</v>
      </c>
      <c r="B567" s="9" t="s">
        <v>1662</v>
      </c>
      <c r="C567" s="10" t="s">
        <v>1663</v>
      </c>
      <c r="D567" s="10" t="s">
        <v>1664</v>
      </c>
      <c r="E567" s="8">
        <v>1000.0</v>
      </c>
      <c r="F567" s="15">
        <v>1393.0</v>
      </c>
      <c r="G567" s="13">
        <f>F567*567</f>
        <v>789831</v>
      </c>
      <c r="H567" s="18" t="s">
        <v>14</v>
      </c>
    </row>
    <row r="568" spans="1:8" outlineLevel="1">
      <c r="A568" s="18">
        <v>561</v>
      </c>
      <c r="B568" s="9" t="s">
        <v>1665</v>
      </c>
      <c r="C568" s="10" t="s">
        <v>1666</v>
      </c>
      <c r="D568" s="10" t="s">
        <v>1667</v>
      </c>
      <c r="E568" s="8" t="s">
        <v>23</v>
      </c>
      <c r="F568" s="15">
        <v>16160.0</v>
      </c>
      <c r="G568" s="13">
        <f>F568*568</f>
        <v>9178880</v>
      </c>
      <c r="H568" s="18" t="s">
        <v>14</v>
      </c>
    </row>
    <row r="569" spans="1:8" outlineLevel="1">
      <c r="A569" s="18">
        <v>562</v>
      </c>
      <c r="B569" s="9" t="s">
        <v>1668</v>
      </c>
      <c r="C569" s="10" t="s">
        <v>1669</v>
      </c>
      <c r="D569" s="10" t="s">
        <v>1670</v>
      </c>
      <c r="E569" s="8">
        <v>1000.0</v>
      </c>
      <c r="F569" s="15">
        <v>0.0</v>
      </c>
      <c r="G569" s="13">
        <f>F569*569</f>
        <v>0</v>
      </c>
      <c r="H569" s="18" t="s">
        <v>14</v>
      </c>
    </row>
    <row r="570" spans="1:8" outlineLevel="1">
      <c r="A570" s="18">
        <v>563</v>
      </c>
      <c r="B570" s="9" t="s">
        <v>1671</v>
      </c>
      <c r="C570" s="10" t="s">
        <v>1672</v>
      </c>
      <c r="D570" s="10" t="s">
        <v>1673</v>
      </c>
      <c r="E570" s="8">
        <v>1000.0</v>
      </c>
      <c r="F570" s="15">
        <v>1382.0</v>
      </c>
      <c r="G570" s="13">
        <f>F570*570</f>
        <v>787740</v>
      </c>
      <c r="H570" s="18" t="s">
        <v>14</v>
      </c>
    </row>
    <row r="571" spans="1:8" outlineLevel="1">
      <c r="A571" s="18">
        <v>564</v>
      </c>
      <c r="B571" s="9" t="s">
        <v>1674</v>
      </c>
      <c r="C571" s="10" t="s">
        <v>1675</v>
      </c>
      <c r="D571" s="10" t="s">
        <v>1676</v>
      </c>
      <c r="E571" s="8">
        <v>1000.0</v>
      </c>
      <c r="F571" s="15">
        <v>2902.0</v>
      </c>
      <c r="G571" s="13">
        <f>F571*571</f>
        <v>1657042</v>
      </c>
      <c r="H571" s="18" t="s">
        <v>14</v>
      </c>
    </row>
    <row r="572" spans="1:8" outlineLevel="1">
      <c r="A572" s="18">
        <v>565</v>
      </c>
      <c r="B572" s="9" t="s">
        <v>1677</v>
      </c>
      <c r="C572" s="10" t="s">
        <v>1678</v>
      </c>
      <c r="D572" s="10" t="s">
        <v>1679</v>
      </c>
      <c r="E572" s="8">
        <v>1000.0</v>
      </c>
      <c r="F572" s="15">
        <v>4352.0</v>
      </c>
      <c r="G572" s="13">
        <f>F572*572</f>
        <v>2489344</v>
      </c>
      <c r="H572" s="18" t="s">
        <v>14</v>
      </c>
    </row>
    <row r="573" spans="1:8" outlineLevel="1">
      <c r="A573" s="18">
        <v>566</v>
      </c>
      <c r="B573" s="9" t="s">
        <v>1680</v>
      </c>
      <c r="C573" s="10" t="s">
        <v>1681</v>
      </c>
      <c r="D573" s="10" t="s">
        <v>1682</v>
      </c>
      <c r="E573" s="8">
        <v>1000.0</v>
      </c>
      <c r="F573" s="15">
        <v>2021.0</v>
      </c>
      <c r="G573" s="13">
        <f>F573*573</f>
        <v>1158033</v>
      </c>
      <c r="H573" s="18" t="s">
        <v>14</v>
      </c>
    </row>
    <row r="574" spans="1:8" outlineLevel="1">
      <c r="A574" s="18">
        <v>567</v>
      </c>
      <c r="B574" s="9" t="s">
        <v>1683</v>
      </c>
      <c r="C574" s="10" t="s">
        <v>1684</v>
      </c>
      <c r="D574" s="10" t="s">
        <v>1685</v>
      </c>
      <c r="E574" s="8" t="s">
        <v>23</v>
      </c>
      <c r="F574" s="15">
        <v>18048.0</v>
      </c>
      <c r="G574" s="13">
        <f>F574*574</f>
        <v>10359552</v>
      </c>
      <c r="H574" s="18" t="s">
        <v>14</v>
      </c>
    </row>
    <row r="575" spans="1:8" outlineLevel="1">
      <c r="A575" s="18">
        <v>568</v>
      </c>
      <c r="B575" s="9" t="s">
        <v>1686</v>
      </c>
      <c r="C575" s="10" t="s">
        <v>1687</v>
      </c>
      <c r="D575" s="10" t="s">
        <v>1688</v>
      </c>
      <c r="E575" s="8" t="s">
        <v>23</v>
      </c>
      <c r="F575" s="15">
        <v>8160.0</v>
      </c>
      <c r="G575" s="13">
        <f>F575*575</f>
        <v>4692000</v>
      </c>
      <c r="H575" s="18" t="s">
        <v>14</v>
      </c>
    </row>
    <row r="576" spans="1:8" outlineLevel="1">
      <c r="A576" s="18">
        <v>569</v>
      </c>
      <c r="B576" s="9" t="s">
        <v>1689</v>
      </c>
      <c r="C576" s="10" t="s">
        <v>1690</v>
      </c>
      <c r="D576" s="10" t="s">
        <v>1691</v>
      </c>
      <c r="E576" s="8" t="s">
        <v>23</v>
      </c>
      <c r="F576" s="15">
        <v>3995.0</v>
      </c>
      <c r="G576" s="13">
        <f>F576*576</f>
        <v>2301120</v>
      </c>
      <c r="H576" s="18" t="s">
        <v>14</v>
      </c>
    </row>
    <row r="577" spans="1:8" outlineLevel="1">
      <c r="A577" s="18">
        <v>570</v>
      </c>
      <c r="B577" s="9" t="s">
        <v>1692</v>
      </c>
      <c r="C577" s="10" t="s">
        <v>1693</v>
      </c>
      <c r="D577" s="10" t="s">
        <v>1694</v>
      </c>
      <c r="E577" s="8" t="s">
        <v>23</v>
      </c>
      <c r="F577" s="15">
        <v>7008.0</v>
      </c>
      <c r="G577" s="13">
        <f>F577*577</f>
        <v>4043616</v>
      </c>
      <c r="H577" s="18" t="s">
        <v>14</v>
      </c>
    </row>
    <row r="578" spans="1:8" outlineLevel="1">
      <c r="A578" s="18">
        <v>571</v>
      </c>
      <c r="B578" s="9" t="s">
        <v>1695</v>
      </c>
      <c r="C578" s="10" t="s">
        <v>1696</v>
      </c>
      <c r="D578" s="10" t="s">
        <v>1697</v>
      </c>
      <c r="E578" s="8" t="s">
        <v>23</v>
      </c>
      <c r="F578" s="15">
        <v>7968.0</v>
      </c>
      <c r="G578" s="13">
        <f>F578*578</f>
        <v>4605504</v>
      </c>
      <c r="H578" s="18" t="s">
        <v>14</v>
      </c>
    </row>
    <row r="579" spans="1:8" outlineLevel="1">
      <c r="A579" s="18">
        <v>572</v>
      </c>
      <c r="B579" s="9" t="s">
        <v>1698</v>
      </c>
      <c r="C579" s="10" t="s">
        <v>1699</v>
      </c>
      <c r="D579" s="10" t="s">
        <v>1700</v>
      </c>
      <c r="E579" s="8" t="s">
        <v>23</v>
      </c>
      <c r="F579" s="15">
        <v>3936.0</v>
      </c>
      <c r="G579" s="13">
        <f>F579*579</f>
        <v>2278944</v>
      </c>
      <c r="H579" s="18" t="s">
        <v>14</v>
      </c>
    </row>
    <row r="580" spans="1:8" outlineLevel="1">
      <c r="A580" s="18">
        <v>573</v>
      </c>
      <c r="B580" s="9" t="s">
        <v>1701</v>
      </c>
      <c r="C580" s="10" t="s">
        <v>1702</v>
      </c>
      <c r="D580" s="10" t="s">
        <v>1703</v>
      </c>
      <c r="E580" s="8" t="s">
        <v>23</v>
      </c>
      <c r="F580" s="15">
        <v>9504.0</v>
      </c>
      <c r="G580" s="13">
        <f>F580*580</f>
        <v>5512320</v>
      </c>
      <c r="H580" s="18" t="s">
        <v>14</v>
      </c>
    </row>
    <row r="581" spans="1:8" outlineLevel="1">
      <c r="A581" s="18">
        <v>574</v>
      </c>
      <c r="B581" s="9" t="s">
        <v>1704</v>
      </c>
      <c r="C581" s="10" t="s">
        <v>1705</v>
      </c>
      <c r="D581" s="10" t="s">
        <v>1706</v>
      </c>
      <c r="E581" s="8" t="s">
        <v>23</v>
      </c>
      <c r="F581" s="15">
        <v>6816.0</v>
      </c>
      <c r="G581" s="13">
        <f>F581*581</f>
        <v>3960096</v>
      </c>
      <c r="H581" s="18" t="s">
        <v>14</v>
      </c>
    </row>
    <row r="582" spans="1:8" outlineLevel="1">
      <c r="A582" s="18">
        <v>575</v>
      </c>
      <c r="B582" s="9" t="s">
        <v>1707</v>
      </c>
      <c r="C582" s="10" t="s">
        <v>1708</v>
      </c>
      <c r="D582" s="10" t="s">
        <v>1709</v>
      </c>
      <c r="E582" s="8" t="s">
        <v>23</v>
      </c>
      <c r="F582" s="15">
        <v>5472.0</v>
      </c>
      <c r="G582" s="13">
        <f>F582*582</f>
        <v>3184704</v>
      </c>
      <c r="H582" s="18" t="s">
        <v>14</v>
      </c>
    </row>
    <row r="583" spans="1:8" outlineLevel="1">
      <c r="A583" s="18">
        <v>576</v>
      </c>
      <c r="B583" s="9" t="s">
        <v>1710</v>
      </c>
      <c r="C583" s="10" t="s">
        <v>1711</v>
      </c>
      <c r="D583" s="10" t="s">
        <v>1712</v>
      </c>
      <c r="E583" s="8" t="s">
        <v>23</v>
      </c>
      <c r="F583" s="15">
        <v>2465.0</v>
      </c>
      <c r="G583" s="13">
        <f>F583*583</f>
        <v>1437095</v>
      </c>
      <c r="H583" s="18" t="s">
        <v>14</v>
      </c>
    </row>
    <row r="584" spans="1:8" outlineLevel="1">
      <c r="A584" s="18">
        <v>577</v>
      </c>
      <c r="B584" s="9" t="s">
        <v>1713</v>
      </c>
      <c r="C584" s="10" t="s">
        <v>1714</v>
      </c>
      <c r="D584" s="10" t="s">
        <v>1715</v>
      </c>
      <c r="E584" s="8" t="s">
        <v>23</v>
      </c>
      <c r="F584" s="15">
        <v>1879.0</v>
      </c>
      <c r="G584" s="13">
        <f>F584*584</f>
        <v>1097336</v>
      </c>
      <c r="H584" s="18" t="s">
        <v>14</v>
      </c>
    </row>
    <row r="585" spans="1:8" outlineLevel="1">
      <c r="A585" s="18">
        <v>578</v>
      </c>
      <c r="B585" s="9" t="s">
        <v>1716</v>
      </c>
      <c r="C585" s="10" t="s">
        <v>1717</v>
      </c>
      <c r="D585" s="10" t="s">
        <v>1718</v>
      </c>
      <c r="E585" s="8" t="s">
        <v>23</v>
      </c>
      <c r="F585" s="15">
        <v>26304.0</v>
      </c>
      <c r="G585" s="13">
        <f>F585*585</f>
        <v>15387840</v>
      </c>
      <c r="H585" s="18" t="s">
        <v>14</v>
      </c>
    </row>
    <row r="586" spans="1:8" outlineLevel="1">
      <c r="A586" s="18">
        <v>579</v>
      </c>
      <c r="B586" s="9" t="s">
        <v>1719</v>
      </c>
      <c r="C586" s="10" t="s">
        <v>1720</v>
      </c>
      <c r="D586" s="10" t="s">
        <v>1721</v>
      </c>
      <c r="E586" s="8" t="s">
        <v>23</v>
      </c>
      <c r="F586" s="15">
        <v>2635.0</v>
      </c>
      <c r="G586" s="13">
        <f>F586*586</f>
        <v>1544110</v>
      </c>
      <c r="H586" s="18" t="s">
        <v>14</v>
      </c>
    </row>
    <row r="587" spans="1:8" outlineLevel="1">
      <c r="A587" s="18">
        <v>580</v>
      </c>
      <c r="B587" s="9" t="s">
        <v>1722</v>
      </c>
      <c r="C587" s="10" t="s">
        <v>1723</v>
      </c>
      <c r="D587" s="10" t="s">
        <v>1724</v>
      </c>
      <c r="E587" s="8" t="s">
        <v>23</v>
      </c>
      <c r="F587" s="15">
        <v>10656.0</v>
      </c>
      <c r="G587" s="13">
        <f>F587*587</f>
        <v>6255072</v>
      </c>
      <c r="H587" s="18" t="s">
        <v>14</v>
      </c>
    </row>
    <row r="588" spans="1:8" outlineLevel="1">
      <c r="A588" s="18">
        <v>581</v>
      </c>
      <c r="B588" s="9" t="s">
        <v>1725</v>
      </c>
      <c r="C588" s="10" t="s">
        <v>1726</v>
      </c>
      <c r="D588" s="10" t="s">
        <v>1727</v>
      </c>
      <c r="E588" s="8" t="s">
        <v>23</v>
      </c>
      <c r="F588" s="15">
        <v>7968.0</v>
      </c>
      <c r="G588" s="13">
        <f>F588*588</f>
        <v>4685184</v>
      </c>
      <c r="H588" s="18" t="s">
        <v>14</v>
      </c>
    </row>
    <row r="589" spans="1:8" outlineLevel="1">
      <c r="A589" s="18">
        <v>582</v>
      </c>
      <c r="B589" s="9" t="s">
        <v>1728</v>
      </c>
      <c r="C589" s="10" t="s">
        <v>1729</v>
      </c>
      <c r="D589" s="10" t="s">
        <v>1730</v>
      </c>
      <c r="E589" s="8" t="s">
        <v>23</v>
      </c>
      <c r="F589" s="15">
        <v>11424.0</v>
      </c>
      <c r="G589" s="13">
        <f>F589*589</f>
        <v>6728736</v>
      </c>
      <c r="H589" s="18" t="s">
        <v>14</v>
      </c>
    </row>
    <row r="590" spans="1:8" outlineLevel="1">
      <c r="A590" s="18">
        <v>583</v>
      </c>
      <c r="B590" s="9" t="s">
        <v>1731</v>
      </c>
      <c r="C590" s="10" t="s">
        <v>1732</v>
      </c>
      <c r="D590" s="10" t="s">
        <v>1733</v>
      </c>
      <c r="E590" s="8" t="s">
        <v>23</v>
      </c>
      <c r="F590" s="15">
        <v>4004.0</v>
      </c>
      <c r="G590" s="13">
        <f>F590*590</f>
        <v>2362360</v>
      </c>
      <c r="H590" s="18" t="s">
        <v>14</v>
      </c>
    </row>
    <row r="591" spans="1:8" outlineLevel="1">
      <c r="A591" s="18">
        <v>584</v>
      </c>
      <c r="B591" s="9" t="s">
        <v>1734</v>
      </c>
      <c r="C591" s="10" t="s">
        <v>1735</v>
      </c>
      <c r="D591" s="10" t="s">
        <v>1736</v>
      </c>
      <c r="E591" s="8" t="s">
        <v>23</v>
      </c>
      <c r="F591" s="15">
        <v>2304.0</v>
      </c>
      <c r="G591" s="13">
        <f>F591*591</f>
        <v>1361664</v>
      </c>
      <c r="H591" s="18" t="s">
        <v>14</v>
      </c>
    </row>
    <row r="592" spans="1:8" outlineLevel="1">
      <c r="A592" s="18">
        <v>585</v>
      </c>
      <c r="B592" s="9" t="s">
        <v>1737</v>
      </c>
      <c r="C592" s="10" t="s">
        <v>1738</v>
      </c>
      <c r="D592" s="10" t="s">
        <v>1739</v>
      </c>
      <c r="E592" s="8" t="s">
        <v>23</v>
      </c>
      <c r="F592" s="15">
        <v>2975.0</v>
      </c>
      <c r="G592" s="13">
        <f>F592*592</f>
        <v>1761200</v>
      </c>
      <c r="H592" s="18" t="s">
        <v>14</v>
      </c>
    </row>
    <row r="593" spans="1:8" outlineLevel="1">
      <c r="A593" s="18">
        <v>586</v>
      </c>
      <c r="B593" s="9" t="s">
        <v>1740</v>
      </c>
      <c r="C593" s="10" t="s">
        <v>1741</v>
      </c>
      <c r="D593" s="10" t="s">
        <v>1742</v>
      </c>
      <c r="E593" s="8" t="s">
        <v>23</v>
      </c>
      <c r="F593" s="15">
        <v>2482.0</v>
      </c>
      <c r="G593" s="13">
        <f>F593*593</f>
        <v>1471826</v>
      </c>
      <c r="H593" s="18" t="s">
        <v>14</v>
      </c>
    </row>
    <row r="594" spans="1:8" outlineLevel="1">
      <c r="A594" s="18">
        <v>587</v>
      </c>
      <c r="B594" s="9" t="s">
        <v>1743</v>
      </c>
      <c r="C594" s="10" t="s">
        <v>1744</v>
      </c>
      <c r="D594" s="10" t="s">
        <v>1745</v>
      </c>
      <c r="E594" s="8" t="s">
        <v>23</v>
      </c>
      <c r="F594" s="15">
        <v>2720.0</v>
      </c>
      <c r="G594" s="13">
        <f>F594*594</f>
        <v>1615680</v>
      </c>
      <c r="H594" s="18" t="s">
        <v>14</v>
      </c>
    </row>
    <row r="595" spans="1:8" outlineLevel="1">
      <c r="A595" s="18">
        <v>588</v>
      </c>
      <c r="B595" s="9" t="s">
        <v>1746</v>
      </c>
      <c r="C595" s="10" t="s">
        <v>1747</v>
      </c>
      <c r="D595" s="10" t="s">
        <v>1748</v>
      </c>
      <c r="E595" s="8" t="s">
        <v>23</v>
      </c>
      <c r="F595" s="15">
        <v>2880.0</v>
      </c>
      <c r="G595" s="13">
        <f>F595*595</f>
        <v>1713600</v>
      </c>
      <c r="H595" s="18" t="s">
        <v>14</v>
      </c>
    </row>
    <row r="596" spans="1:8" outlineLevel="1">
      <c r="A596" s="18">
        <v>589</v>
      </c>
      <c r="B596" s="9" t="s">
        <v>1749</v>
      </c>
      <c r="C596" s="10" t="s">
        <v>1750</v>
      </c>
      <c r="D596" s="10" t="s">
        <v>1751</v>
      </c>
      <c r="E596" s="8" t="s">
        <v>23</v>
      </c>
      <c r="F596" s="15">
        <v>2550.0</v>
      </c>
      <c r="G596" s="13">
        <f>F596*596</f>
        <v>1519800</v>
      </c>
      <c r="H596" s="18" t="s">
        <v>14</v>
      </c>
    </row>
    <row r="597" spans="1:8" outlineLevel="1">
      <c r="A597" s="18">
        <v>590</v>
      </c>
      <c r="B597" s="9" t="s">
        <v>1752</v>
      </c>
      <c r="C597" s="10" t="s">
        <v>1753</v>
      </c>
      <c r="D597" s="10" t="s">
        <v>1754</v>
      </c>
      <c r="E597" s="8" t="s">
        <v>23</v>
      </c>
      <c r="F597" s="15">
        <v>22752.0</v>
      </c>
      <c r="G597" s="13">
        <f>F597*597</f>
        <v>13582944</v>
      </c>
      <c r="H597" s="18" t="s">
        <v>14</v>
      </c>
    </row>
    <row r="598" spans="1:8" outlineLevel="1">
      <c r="A598" s="18">
        <v>591</v>
      </c>
      <c r="B598" s="9" t="s">
        <v>1755</v>
      </c>
      <c r="C598" s="10" t="s">
        <v>1756</v>
      </c>
      <c r="D598" s="10" t="s">
        <v>1757</v>
      </c>
      <c r="E598" s="8" t="s">
        <v>23</v>
      </c>
      <c r="F598" s="15">
        <v>27744.0</v>
      </c>
      <c r="G598" s="13">
        <f>F598*598</f>
        <v>16590912</v>
      </c>
      <c r="H598" s="18" t="s">
        <v>14</v>
      </c>
    </row>
    <row r="599" spans="1:8" outlineLevel="1">
      <c r="A599" s="18">
        <v>592</v>
      </c>
      <c r="B599" s="9" t="s">
        <v>1758</v>
      </c>
      <c r="C599" s="10" t="s">
        <v>1756</v>
      </c>
      <c r="D599" s="10" t="s">
        <v>1759</v>
      </c>
      <c r="E599" s="8" t="s">
        <v>23</v>
      </c>
      <c r="F599" s="15">
        <v>27744.0</v>
      </c>
      <c r="G599" s="13">
        <f>F599*599</f>
        <v>16618656</v>
      </c>
      <c r="H599" s="18" t="s">
        <v>14</v>
      </c>
    </row>
    <row r="600" spans="1:8" outlineLevel="1">
      <c r="A600" s="18">
        <v>593</v>
      </c>
      <c r="B600" s="9" t="s">
        <v>1760</v>
      </c>
      <c r="C600" s="10" t="s">
        <v>1761</v>
      </c>
      <c r="D600" s="10" t="s">
        <v>1762</v>
      </c>
      <c r="E600" s="8" t="s">
        <v>23</v>
      </c>
      <c r="F600" s="15">
        <v>31584.0</v>
      </c>
      <c r="G600" s="13">
        <f>F600*600</f>
        <v>18950400</v>
      </c>
      <c r="H600" s="18" t="s">
        <v>14</v>
      </c>
    </row>
    <row r="601" spans="1:8" outlineLevel="1">
      <c r="A601" s="18">
        <v>594</v>
      </c>
      <c r="B601" s="9" t="s">
        <v>1763</v>
      </c>
      <c r="C601" s="10" t="s">
        <v>1764</v>
      </c>
      <c r="D601" s="10" t="s">
        <v>1765</v>
      </c>
      <c r="E601" s="8" t="s">
        <v>23</v>
      </c>
      <c r="F601" s="15">
        <v>23808.0</v>
      </c>
      <c r="G601" s="13">
        <f>F601*601</f>
        <v>14308608</v>
      </c>
      <c r="H601" s="18" t="s">
        <v>14</v>
      </c>
    </row>
    <row r="602" spans="1:8" outlineLevel="1">
      <c r="A602" s="18">
        <v>595</v>
      </c>
      <c r="B602" s="9" t="s">
        <v>1766</v>
      </c>
      <c r="C602" s="10" t="s">
        <v>1767</v>
      </c>
      <c r="D602" s="10" t="s">
        <v>1768</v>
      </c>
      <c r="E602" s="8">
        <v>1000.0</v>
      </c>
      <c r="F602" s="15">
        <v>3651.0</v>
      </c>
      <c r="G602" s="13">
        <f>F602*602</f>
        <v>2197902</v>
      </c>
      <c r="H602" s="18" t="s">
        <v>14</v>
      </c>
    </row>
    <row r="603" spans="1:8" outlineLevel="1">
      <c r="A603" s="18">
        <v>596</v>
      </c>
      <c r="B603" s="9" t="s">
        <v>1769</v>
      </c>
      <c r="C603" s="10" t="s">
        <v>1770</v>
      </c>
      <c r="D603" s="10" t="s">
        <v>1771</v>
      </c>
      <c r="E603" s="8" t="s">
        <v>23</v>
      </c>
      <c r="F603" s="15">
        <v>11350.0</v>
      </c>
      <c r="G603" s="13">
        <f>F603*603</f>
        <v>6844050</v>
      </c>
      <c r="H603" s="18" t="s">
        <v>14</v>
      </c>
    </row>
    <row r="604" spans="1:8" outlineLevel="1">
      <c r="A604" s="18">
        <v>597</v>
      </c>
      <c r="B604" s="9" t="s">
        <v>1772</v>
      </c>
      <c r="C604" s="10" t="s">
        <v>1773</v>
      </c>
      <c r="D604" s="10" t="s">
        <v>1774</v>
      </c>
      <c r="E604" s="8" t="s">
        <v>23</v>
      </c>
      <c r="F604" s="15">
        <v>17786.0</v>
      </c>
      <c r="G604" s="13">
        <f>F604*604</f>
        <v>10742744</v>
      </c>
      <c r="H604" s="18" t="s">
        <v>14</v>
      </c>
    </row>
    <row r="605" spans="1:8" outlineLevel="1">
      <c r="A605" s="18">
        <v>598</v>
      </c>
      <c r="B605" s="9" t="s">
        <v>1775</v>
      </c>
      <c r="C605" s="10" t="s">
        <v>1776</v>
      </c>
      <c r="D605" s="10" t="s">
        <v>1777</v>
      </c>
      <c r="E605" s="8">
        <v>1000.0</v>
      </c>
      <c r="F605" s="15">
        <v>2298.0</v>
      </c>
      <c r="G605" s="13">
        <f>F605*605</f>
        <v>1390290</v>
      </c>
      <c r="H605" s="18" t="s">
        <v>14</v>
      </c>
    </row>
    <row r="606" spans="1:8" outlineLevel="1">
      <c r="A606" s="18">
        <v>599</v>
      </c>
      <c r="B606" s="9" t="s">
        <v>1778</v>
      </c>
      <c r="C606" s="10" t="s">
        <v>1779</v>
      </c>
      <c r="D606" s="10" t="s">
        <v>1780</v>
      </c>
      <c r="E606" s="8">
        <v>1000.0</v>
      </c>
      <c r="F606" s="15">
        <v>1775.0</v>
      </c>
      <c r="G606" s="13">
        <f>F606*606</f>
        <v>1075650</v>
      </c>
      <c r="H606" s="18" t="s">
        <v>14</v>
      </c>
    </row>
    <row r="607" spans="1:8" outlineLevel="1">
      <c r="A607" s="18">
        <v>600</v>
      </c>
      <c r="B607" s="9" t="s">
        <v>1781</v>
      </c>
      <c r="C607" s="10" t="s">
        <v>1782</v>
      </c>
      <c r="D607" s="10" t="s">
        <v>1783</v>
      </c>
      <c r="E607" s="8" t="s">
        <v>23</v>
      </c>
      <c r="F607" s="15">
        <v>23796.0</v>
      </c>
      <c r="G607" s="13">
        <f>F607*607</f>
        <v>14444172</v>
      </c>
      <c r="H607" s="18" t="s">
        <v>14</v>
      </c>
    </row>
    <row r="608" spans="1:8" outlineLevel="1">
      <c r="A608" s="18">
        <v>601</v>
      </c>
      <c r="B608" s="9" t="s">
        <v>1784</v>
      </c>
      <c r="C608" s="10" t="s">
        <v>1785</v>
      </c>
      <c r="D608" s="10" t="s">
        <v>1786</v>
      </c>
      <c r="E608" s="8" t="s">
        <v>23</v>
      </c>
      <c r="F608" s="15">
        <v>6759.0</v>
      </c>
      <c r="G608" s="13">
        <f>F608*608</f>
        <v>4109472</v>
      </c>
      <c r="H608" s="18" t="s">
        <v>14</v>
      </c>
    </row>
    <row r="609" spans="1:8" outlineLevel="1">
      <c r="A609" s="18">
        <v>602</v>
      </c>
      <c r="B609" s="9" t="s">
        <v>1787</v>
      </c>
      <c r="C609" s="10" t="s">
        <v>1788</v>
      </c>
      <c r="D609" s="10" t="s">
        <v>1789</v>
      </c>
      <c r="E609" s="8">
        <v>1000.0</v>
      </c>
      <c r="F609" s="15">
        <v>3600.0</v>
      </c>
      <c r="G609" s="13">
        <f>F609*609</f>
        <v>2192400</v>
      </c>
      <c r="H609" s="18" t="s">
        <v>14</v>
      </c>
    </row>
    <row r="610" spans="1:8" outlineLevel="1">
      <c r="A610" s="18">
        <v>603</v>
      </c>
      <c r="B610" s="9" t="s">
        <v>1790</v>
      </c>
      <c r="C610" s="10" t="s">
        <v>1791</v>
      </c>
      <c r="D610" s="10" t="s">
        <v>1792</v>
      </c>
      <c r="E610" s="8">
        <v>1000.0</v>
      </c>
      <c r="F610" s="15">
        <v>2298.0</v>
      </c>
      <c r="G610" s="13">
        <f>F610*610</f>
        <v>1401780</v>
      </c>
      <c r="H610" s="18" t="s">
        <v>14</v>
      </c>
    </row>
    <row r="611" spans="1:8" outlineLevel="1">
      <c r="A611" s="18">
        <v>604</v>
      </c>
      <c r="B611" s="9" t="s">
        <v>1793</v>
      </c>
      <c r="C611" s="10" t="s">
        <v>1794</v>
      </c>
      <c r="D611" s="10" t="s">
        <v>1795</v>
      </c>
      <c r="E611" s="8">
        <v>1000.0</v>
      </c>
      <c r="F611" s="15">
        <v>2923.0</v>
      </c>
      <c r="G611" s="13">
        <f>F611*611</f>
        <v>1785953</v>
      </c>
      <c r="H611" s="18" t="s">
        <v>14</v>
      </c>
    </row>
    <row r="612" spans="1:8" outlineLevel="1">
      <c r="A612" s="18">
        <v>605</v>
      </c>
      <c r="B612" s="9" t="s">
        <v>1796</v>
      </c>
      <c r="C612" s="10" t="s">
        <v>1794</v>
      </c>
      <c r="D612" s="10" t="s">
        <v>1797</v>
      </c>
      <c r="E612" s="8">
        <v>1000.0</v>
      </c>
      <c r="F612" s="15">
        <v>3457.0</v>
      </c>
      <c r="G612" s="13">
        <f>F612*612</f>
        <v>2115684</v>
      </c>
      <c r="H612" s="18" t="s">
        <v>14</v>
      </c>
    </row>
    <row r="613" spans="1:8" outlineLevel="1">
      <c r="A613" s="18">
        <v>606</v>
      </c>
      <c r="B613" s="9" t="s">
        <v>1798</v>
      </c>
      <c r="C613" s="10" t="s">
        <v>1799</v>
      </c>
      <c r="D613" s="10" t="s">
        <v>1800</v>
      </c>
      <c r="E613" s="8">
        <v>1000.0</v>
      </c>
      <c r="F613" s="15">
        <v>1775.0</v>
      </c>
      <c r="G613" s="13">
        <f>F613*613</f>
        <v>1088075</v>
      </c>
      <c r="H613" s="18" t="s">
        <v>14</v>
      </c>
    </row>
    <row r="614" spans="1:8" outlineLevel="1">
      <c r="A614" s="18">
        <v>607</v>
      </c>
      <c r="B614" s="9" t="s">
        <v>1801</v>
      </c>
      <c r="C614" s="10" t="s">
        <v>1802</v>
      </c>
      <c r="D614" s="10" t="s">
        <v>1803</v>
      </c>
      <c r="E614" s="8">
        <v>1000.0</v>
      </c>
      <c r="F614" s="15">
        <v>2874.0</v>
      </c>
      <c r="G614" s="13">
        <f>F614*614</f>
        <v>1764636</v>
      </c>
      <c r="H614" s="18" t="s">
        <v>14</v>
      </c>
    </row>
    <row r="615" spans="1:8" outlineLevel="1">
      <c r="A615" s="18">
        <v>608</v>
      </c>
      <c r="B615" s="9" t="s">
        <v>1804</v>
      </c>
      <c r="C615" s="10" t="s">
        <v>1805</v>
      </c>
      <c r="D615" s="10" t="s">
        <v>1806</v>
      </c>
      <c r="E615" s="8" t="s">
        <v>23</v>
      </c>
      <c r="F615" s="15">
        <v>26314.0</v>
      </c>
      <c r="G615" s="13">
        <f>F615*615</f>
        <v>16183110</v>
      </c>
      <c r="H615" s="18" t="s">
        <v>14</v>
      </c>
    </row>
    <row r="616" spans="1:8" outlineLevel="1">
      <c r="A616" s="18">
        <v>609</v>
      </c>
      <c r="B616" s="9" t="s">
        <v>1807</v>
      </c>
      <c r="C616" s="10" t="s">
        <v>1808</v>
      </c>
      <c r="D616" s="10" t="s">
        <v>1809</v>
      </c>
      <c r="E616" s="8">
        <v>1000.0</v>
      </c>
      <c r="F616" s="15">
        <v>3269.0</v>
      </c>
      <c r="G616" s="13">
        <f>F616*616</f>
        <v>2013704</v>
      </c>
      <c r="H616" s="18" t="s">
        <v>14</v>
      </c>
    </row>
    <row r="617" spans="1:8" outlineLevel="1">
      <c r="A617" s="18">
        <v>610</v>
      </c>
      <c r="B617" s="9" t="s">
        <v>1810</v>
      </c>
      <c r="C617" s="10" t="s">
        <v>1811</v>
      </c>
      <c r="D617" s="10" t="s">
        <v>1812</v>
      </c>
      <c r="E617" s="8">
        <v>1000.0</v>
      </c>
      <c r="F617" s="15">
        <v>2361.0</v>
      </c>
      <c r="G617" s="13">
        <f>F617*617</f>
        <v>1456737</v>
      </c>
      <c r="H617" s="18" t="s">
        <v>14</v>
      </c>
    </row>
    <row r="618" spans="1:8" outlineLevel="1">
      <c r="A618" s="18">
        <v>611</v>
      </c>
      <c r="B618" s="9" t="s">
        <v>1813</v>
      </c>
      <c r="C618" s="10" t="s">
        <v>1814</v>
      </c>
      <c r="D618" s="10" t="s">
        <v>1815</v>
      </c>
      <c r="E618" s="8">
        <v>1000.0</v>
      </c>
      <c r="F618" s="15">
        <v>74059.0</v>
      </c>
      <c r="G618" s="13">
        <f>F618*618</f>
        <v>45768462</v>
      </c>
      <c r="H618" s="18" t="s">
        <v>14</v>
      </c>
    </row>
    <row r="619" spans="1:8" outlineLevel="1">
      <c r="A619" s="18">
        <v>612</v>
      </c>
      <c r="B619" s="9" t="s">
        <v>1816</v>
      </c>
      <c r="C619" s="10" t="s">
        <v>1817</v>
      </c>
      <c r="D619" s="10" t="s">
        <v>1818</v>
      </c>
      <c r="E619" s="8">
        <v>1000.0</v>
      </c>
      <c r="F619" s="15">
        <v>5253.0</v>
      </c>
      <c r="G619" s="13">
        <f>F619*619</f>
        <v>3251607</v>
      </c>
      <c r="H619" s="18" t="s">
        <v>14</v>
      </c>
    </row>
    <row r="620" spans="1:8" outlineLevel="1">
      <c r="A620" s="18">
        <v>613</v>
      </c>
      <c r="B620" s="9" t="s">
        <v>1819</v>
      </c>
      <c r="C620" s="10" t="s">
        <v>1820</v>
      </c>
      <c r="D620" s="10" t="s">
        <v>1821</v>
      </c>
      <c r="E620" s="8" t="s">
        <v>23</v>
      </c>
      <c r="F620" s="15">
        <v>41856.0</v>
      </c>
      <c r="G620" s="13">
        <f>F620*620</f>
        <v>25950720</v>
      </c>
      <c r="H620" s="18" t="s">
        <v>14</v>
      </c>
    </row>
    <row r="621" spans="1:8" outlineLevel="1">
      <c r="A621" s="18">
        <v>614</v>
      </c>
      <c r="B621" s="9" t="s">
        <v>1822</v>
      </c>
      <c r="C621" s="10" t="s">
        <v>1823</v>
      </c>
      <c r="D621" s="10" t="s">
        <v>1824</v>
      </c>
      <c r="E621" s="8">
        <v>1000.0</v>
      </c>
      <c r="F621" s="15">
        <v>16163.0</v>
      </c>
      <c r="G621" s="13">
        <f>F621*621</f>
        <v>10037223</v>
      </c>
      <c r="H621" s="18" t="s">
        <v>14</v>
      </c>
    </row>
    <row r="622" spans="1:8" outlineLevel="1">
      <c r="A622" s="18">
        <v>615</v>
      </c>
      <c r="B622" s="9" t="s">
        <v>1825</v>
      </c>
      <c r="C622" s="10" t="s">
        <v>1826</v>
      </c>
      <c r="D622" s="10" t="s">
        <v>1827</v>
      </c>
      <c r="E622" s="8">
        <v>1000.0</v>
      </c>
      <c r="F622" s="15">
        <v>3646.0</v>
      </c>
      <c r="G622" s="13">
        <f>F622*622</f>
        <v>2267812</v>
      </c>
      <c r="H622" s="18" t="s">
        <v>14</v>
      </c>
    </row>
    <row r="623" spans="1:8" outlineLevel="1">
      <c r="A623" s="18">
        <v>616</v>
      </c>
      <c r="B623" s="9" t="s">
        <v>1828</v>
      </c>
      <c r="C623" s="10" t="s">
        <v>1829</v>
      </c>
      <c r="D623" s="10" t="s">
        <v>1830</v>
      </c>
      <c r="E623" s="8">
        <v>1000.0</v>
      </c>
      <c r="F623" s="15">
        <v>3935.0</v>
      </c>
      <c r="G623" s="13">
        <f>F623*623</f>
        <v>2451505</v>
      </c>
      <c r="H623" s="18" t="s">
        <v>14</v>
      </c>
    </row>
    <row r="624" spans="1:8" outlineLevel="1">
      <c r="A624" s="18">
        <v>617</v>
      </c>
      <c r="B624" s="9" t="s">
        <v>1831</v>
      </c>
      <c r="C624" s="10" t="s">
        <v>1832</v>
      </c>
      <c r="D624" s="10" t="s">
        <v>1833</v>
      </c>
      <c r="E624" s="8">
        <v>1000.0</v>
      </c>
      <c r="F624" s="15">
        <v>7240.0</v>
      </c>
      <c r="G624" s="13">
        <f>F624*624</f>
        <v>4517760</v>
      </c>
      <c r="H624" s="18" t="s">
        <v>14</v>
      </c>
    </row>
    <row r="625" spans="1:8" outlineLevel="1">
      <c r="A625" s="18">
        <v>618</v>
      </c>
      <c r="B625" s="9" t="s">
        <v>1834</v>
      </c>
      <c r="C625" s="10" t="s">
        <v>1835</v>
      </c>
      <c r="D625" s="10" t="s">
        <v>1836</v>
      </c>
      <c r="E625" s="8" t="s">
        <v>23</v>
      </c>
      <c r="F625" s="15">
        <v>11385.0</v>
      </c>
      <c r="G625" s="13">
        <f>F625*625</f>
        <v>7115625</v>
      </c>
      <c r="H625" s="18" t="s">
        <v>14</v>
      </c>
    </row>
    <row r="626" spans="1:8" outlineLevel="1">
      <c r="A626" s="18">
        <v>619</v>
      </c>
      <c r="B626" s="9" t="s">
        <v>1837</v>
      </c>
      <c r="C626" s="10" t="s">
        <v>1838</v>
      </c>
      <c r="D626" s="10" t="s">
        <v>1839</v>
      </c>
      <c r="E626" s="8" t="s">
        <v>23</v>
      </c>
      <c r="F626" s="15">
        <v>7030.0</v>
      </c>
      <c r="G626" s="13">
        <f>F626*626</f>
        <v>4400780</v>
      </c>
      <c r="H626" s="18" t="s">
        <v>14</v>
      </c>
    </row>
    <row r="627" spans="1:8" outlineLevel="1">
      <c r="A627" s="18">
        <v>620</v>
      </c>
      <c r="B627" s="9" t="s">
        <v>1840</v>
      </c>
      <c r="C627" s="10" t="s">
        <v>1841</v>
      </c>
      <c r="D627" s="10" t="s">
        <v>1842</v>
      </c>
      <c r="E627" s="8" t="s">
        <v>23</v>
      </c>
      <c r="F627" s="15">
        <v>8064.0</v>
      </c>
      <c r="G627" s="13">
        <f>F627*627</f>
        <v>5056128</v>
      </c>
      <c r="H627" s="18" t="s">
        <v>14</v>
      </c>
    </row>
    <row r="628" spans="1:8" outlineLevel="1">
      <c r="A628" s="18">
        <v>621</v>
      </c>
      <c r="B628" s="9" t="s">
        <v>1843</v>
      </c>
      <c r="C628" s="10" t="s">
        <v>1844</v>
      </c>
      <c r="D628" s="10" t="s">
        <v>1845</v>
      </c>
      <c r="E628" s="8" t="s">
        <v>23</v>
      </c>
      <c r="F628" s="15">
        <v>9024.0</v>
      </c>
      <c r="G628" s="13">
        <f>F628*628</f>
        <v>5667072</v>
      </c>
      <c r="H628" s="18" t="s">
        <v>14</v>
      </c>
    </row>
    <row r="629" spans="1:8" outlineLevel="1">
      <c r="A629" s="18">
        <v>622</v>
      </c>
      <c r="B629" s="9" t="s">
        <v>1846</v>
      </c>
      <c r="C629" s="10" t="s">
        <v>1847</v>
      </c>
      <c r="D629" s="10" t="s">
        <v>1848</v>
      </c>
      <c r="E629" s="8" t="s">
        <v>23</v>
      </c>
      <c r="F629" s="15">
        <v>4250.0</v>
      </c>
      <c r="G629" s="13">
        <f>F629*629</f>
        <v>2673250</v>
      </c>
      <c r="H629" s="18" t="s">
        <v>14</v>
      </c>
    </row>
    <row r="630" spans="1:8" outlineLevel="1">
      <c r="A630" s="18">
        <v>623</v>
      </c>
      <c r="B630" s="9" t="s">
        <v>1849</v>
      </c>
      <c r="C630" s="10" t="s">
        <v>1850</v>
      </c>
      <c r="D630" s="10" t="s">
        <v>1851</v>
      </c>
      <c r="E630" s="8" t="s">
        <v>23</v>
      </c>
      <c r="F630" s="15">
        <v>5185.0</v>
      </c>
      <c r="G630" s="13">
        <f>F630*630</f>
        <v>3266550</v>
      </c>
      <c r="H630" s="18" t="s">
        <v>14</v>
      </c>
    </row>
    <row r="631" spans="1:8" outlineLevel="1">
      <c r="A631" s="18">
        <v>624</v>
      </c>
      <c r="B631" s="9" t="s">
        <v>1852</v>
      </c>
      <c r="C631" s="10" t="s">
        <v>1853</v>
      </c>
      <c r="D631" s="10" t="s">
        <v>1854</v>
      </c>
      <c r="E631" s="8" t="s">
        <v>23</v>
      </c>
      <c r="F631" s="15">
        <v>10577.0</v>
      </c>
      <c r="G631" s="13">
        <f>F631*631</f>
        <v>6674087</v>
      </c>
      <c r="H631" s="18" t="s">
        <v>14</v>
      </c>
    </row>
    <row r="632" spans="1:8" outlineLevel="1">
      <c r="A632" s="18">
        <v>625</v>
      </c>
      <c r="B632" s="9" t="s">
        <v>1855</v>
      </c>
      <c r="C632" s="10" t="s">
        <v>1856</v>
      </c>
      <c r="D632" s="10" t="s">
        <v>1857</v>
      </c>
      <c r="E632" s="8">
        <v>1000.0</v>
      </c>
      <c r="F632" s="15">
        <v>5103.0</v>
      </c>
      <c r="G632" s="13">
        <f>F632*632</f>
        <v>3225096</v>
      </c>
      <c r="H632" s="18" t="s">
        <v>14</v>
      </c>
    </row>
    <row r="633" spans="1:8" outlineLevel="1">
      <c r="A633" s="18">
        <v>626</v>
      </c>
      <c r="B633" s="9" t="s">
        <v>1858</v>
      </c>
      <c r="C633" s="10" t="s">
        <v>1859</v>
      </c>
      <c r="D633" s="10" t="s">
        <v>1860</v>
      </c>
      <c r="E633" s="8" t="s">
        <v>23</v>
      </c>
      <c r="F633" s="15">
        <v>4896.0</v>
      </c>
      <c r="G633" s="13">
        <f>F633*633</f>
        <v>3099168</v>
      </c>
      <c r="H633" s="18" t="s">
        <v>14</v>
      </c>
    </row>
    <row r="634" spans="1:8" outlineLevel="1">
      <c r="A634" s="18">
        <v>627</v>
      </c>
      <c r="B634" s="9" t="s">
        <v>1861</v>
      </c>
      <c r="C634" s="10" t="s">
        <v>1862</v>
      </c>
      <c r="D634" s="10" t="s">
        <v>1863</v>
      </c>
      <c r="E634" s="8" t="s">
        <v>23</v>
      </c>
      <c r="F634" s="15">
        <v>3060.0</v>
      </c>
      <c r="G634" s="13">
        <f>F634*634</f>
        <v>1940040</v>
      </c>
      <c r="H634" s="18" t="s">
        <v>14</v>
      </c>
    </row>
    <row r="635" spans="1:8" outlineLevel="1">
      <c r="A635" s="18">
        <v>628</v>
      </c>
      <c r="B635" s="9" t="s">
        <v>1864</v>
      </c>
      <c r="C635" s="10" t="s">
        <v>1865</v>
      </c>
      <c r="D635" s="10" t="s">
        <v>1866</v>
      </c>
      <c r="E635" s="8" t="s">
        <v>23</v>
      </c>
      <c r="F635" s="15">
        <v>3060.0</v>
      </c>
      <c r="G635" s="13">
        <f>F635*635</f>
        <v>1943100</v>
      </c>
      <c r="H635" s="18" t="s">
        <v>14</v>
      </c>
    </row>
    <row r="636" spans="1:8" outlineLevel="1">
      <c r="A636" s="18">
        <v>629</v>
      </c>
      <c r="B636" s="9" t="s">
        <v>1867</v>
      </c>
      <c r="C636" s="10" t="s">
        <v>1868</v>
      </c>
      <c r="D636" s="10" t="s">
        <v>1869</v>
      </c>
      <c r="E636" s="8" t="s">
        <v>23</v>
      </c>
      <c r="F636" s="15">
        <v>6720.0</v>
      </c>
      <c r="G636" s="13">
        <f>F636*636</f>
        <v>4273920</v>
      </c>
      <c r="H636" s="18" t="s">
        <v>14</v>
      </c>
    </row>
    <row r="637" spans="1:8" outlineLevel="1">
      <c r="A637" s="18">
        <v>630</v>
      </c>
      <c r="B637" s="9" t="s">
        <v>1870</v>
      </c>
      <c r="C637" s="10" t="s">
        <v>1871</v>
      </c>
      <c r="D637" s="10" t="s">
        <v>1872</v>
      </c>
      <c r="E637" s="8" t="s">
        <v>23</v>
      </c>
      <c r="F637" s="15">
        <v>726.0</v>
      </c>
      <c r="G637" s="13">
        <f>F637*637</f>
        <v>462462</v>
      </c>
      <c r="H637" s="18" t="s">
        <v>14</v>
      </c>
    </row>
    <row r="638" spans="1:8" outlineLevel="1">
      <c r="A638" s="18">
        <v>631</v>
      </c>
      <c r="B638" s="9" t="s">
        <v>1873</v>
      </c>
      <c r="C638" s="10" t="s">
        <v>1874</v>
      </c>
      <c r="D638" s="10" t="s">
        <v>1875</v>
      </c>
      <c r="E638" s="8" t="s">
        <v>23</v>
      </c>
      <c r="F638" s="15">
        <v>236.0</v>
      </c>
      <c r="G638" s="13">
        <f>F638*638</f>
        <v>150568</v>
      </c>
      <c r="H638" s="18" t="s">
        <v>14</v>
      </c>
    </row>
    <row r="639" spans="1:8" outlineLevel="1">
      <c r="A639" s="18">
        <v>632</v>
      </c>
      <c r="B639" s="9" t="s">
        <v>1876</v>
      </c>
      <c r="C639" s="10" t="s">
        <v>1874</v>
      </c>
      <c r="D639" s="10" t="s">
        <v>1877</v>
      </c>
      <c r="E639" s="8" t="s">
        <v>23</v>
      </c>
      <c r="F639" s="15">
        <v>335.0</v>
      </c>
      <c r="G639" s="13">
        <f>F639*639</f>
        <v>214065</v>
      </c>
      <c r="H639" s="18" t="s">
        <v>14</v>
      </c>
    </row>
    <row r="640" spans="1:8" outlineLevel="1">
      <c r="A640" s="18">
        <v>633</v>
      </c>
      <c r="B640" s="9" t="s">
        <v>1878</v>
      </c>
      <c r="C640" s="10" t="s">
        <v>1879</v>
      </c>
      <c r="D640" s="10" t="s">
        <v>1880</v>
      </c>
      <c r="E640" s="8" t="s">
        <v>23</v>
      </c>
      <c r="F640" s="15">
        <v>84.0</v>
      </c>
      <c r="G640" s="13">
        <f>F640*640</f>
        <v>53760</v>
      </c>
      <c r="H640" s="18" t="s">
        <v>14</v>
      </c>
    </row>
    <row r="641" spans="1:8" outlineLevel="1">
      <c r="A641" s="18">
        <v>634</v>
      </c>
      <c r="B641" s="9" t="s">
        <v>1881</v>
      </c>
      <c r="C641" s="10" t="s">
        <v>1882</v>
      </c>
      <c r="D641" s="10" t="s">
        <v>1883</v>
      </c>
      <c r="E641" s="8" t="s">
        <v>23</v>
      </c>
      <c r="F641" s="15">
        <v>1480.0</v>
      </c>
      <c r="G641" s="13">
        <f>F641*641</f>
        <v>948680</v>
      </c>
      <c r="H641" s="18" t="s">
        <v>14</v>
      </c>
    </row>
    <row r="642" spans="1:8" outlineLevel="1">
      <c r="A642" s="18">
        <v>635</v>
      </c>
      <c r="B642" s="9" t="s">
        <v>1884</v>
      </c>
      <c r="C642" s="10" t="s">
        <v>1885</v>
      </c>
      <c r="D642" s="10" t="s">
        <v>1886</v>
      </c>
      <c r="E642" s="8" t="s">
        <v>23</v>
      </c>
      <c r="F642" s="15">
        <v>1326.0</v>
      </c>
      <c r="G642" s="13">
        <f>F642*642</f>
        <v>851292</v>
      </c>
      <c r="H642" s="18" t="s">
        <v>14</v>
      </c>
    </row>
    <row r="643" spans="1:8" outlineLevel="1">
      <c r="A643" s="18">
        <v>636</v>
      </c>
      <c r="B643" s="9" t="s">
        <v>1887</v>
      </c>
      <c r="C643" s="10" t="s">
        <v>1888</v>
      </c>
      <c r="D643" s="10" t="s">
        <v>1889</v>
      </c>
      <c r="E643" s="8" t="s">
        <v>23</v>
      </c>
      <c r="F643" s="15">
        <v>3031.0</v>
      </c>
      <c r="G643" s="13">
        <f>F643*643</f>
        <v>1948933</v>
      </c>
      <c r="H643" s="18" t="s">
        <v>14</v>
      </c>
    </row>
    <row r="644" spans="1:8" outlineLevel="1">
      <c r="A644" s="18">
        <v>637</v>
      </c>
      <c r="B644" s="9" t="s">
        <v>1890</v>
      </c>
      <c r="C644" s="10" t="s">
        <v>1891</v>
      </c>
      <c r="D644" s="10" t="s">
        <v>1892</v>
      </c>
      <c r="E644" s="8" t="s">
        <v>23</v>
      </c>
      <c r="F644" s="15">
        <v>3930.0</v>
      </c>
      <c r="G644" s="13">
        <f>F644*644</f>
        <v>2530920</v>
      </c>
      <c r="H644" s="18" t="s">
        <v>14</v>
      </c>
    </row>
    <row r="645" spans="1:8" outlineLevel="1">
      <c r="A645" s="18">
        <v>638</v>
      </c>
      <c r="B645" s="9" t="s">
        <v>1893</v>
      </c>
      <c r="C645" s="10" t="s">
        <v>1894</v>
      </c>
      <c r="D645" s="10" t="s">
        <v>1895</v>
      </c>
      <c r="E645" s="8" t="s">
        <v>23</v>
      </c>
      <c r="F645" s="15">
        <v>10478.0</v>
      </c>
      <c r="G645" s="13">
        <f>F645*645</f>
        <v>6758310</v>
      </c>
      <c r="H645" s="18" t="s">
        <v>14</v>
      </c>
    </row>
    <row r="646" spans="1:8" outlineLevel="1">
      <c r="A646" s="18">
        <v>639</v>
      </c>
      <c r="B646" s="9" t="s">
        <v>1896</v>
      </c>
      <c r="C646" s="10" t="s">
        <v>1897</v>
      </c>
      <c r="D646" s="10" t="s">
        <v>1898</v>
      </c>
      <c r="E646" s="8">
        <v>1000.0</v>
      </c>
      <c r="F646" s="15">
        <v>7230.0</v>
      </c>
      <c r="G646" s="13">
        <f>F646*646</f>
        <v>4670580</v>
      </c>
      <c r="H646" s="18" t="s">
        <v>14</v>
      </c>
    </row>
    <row r="647" spans="1:8" outlineLevel="1">
      <c r="A647" s="18">
        <v>640</v>
      </c>
      <c r="B647" s="9" t="s">
        <v>1899</v>
      </c>
      <c r="C647" s="10" t="s">
        <v>1897</v>
      </c>
      <c r="D647" s="10" t="s">
        <v>1900</v>
      </c>
      <c r="E647" s="8">
        <v>1000.0</v>
      </c>
      <c r="F647" s="15">
        <v>2872.0</v>
      </c>
      <c r="G647" s="13">
        <f>F647*647</f>
        <v>1858184</v>
      </c>
      <c r="H647" s="18" t="s">
        <v>14</v>
      </c>
    </row>
    <row r="648" spans="1:8" outlineLevel="1">
      <c r="A648" s="18">
        <v>641</v>
      </c>
      <c r="B648" s="9" t="s">
        <v>1901</v>
      </c>
      <c r="C648" s="10" t="s">
        <v>1902</v>
      </c>
      <c r="D648" s="10" t="s">
        <v>1903</v>
      </c>
      <c r="E648" s="8">
        <v>1000.0</v>
      </c>
      <c r="F648" s="15">
        <v>5760.0</v>
      </c>
      <c r="G648" s="13">
        <f>F648*648</f>
        <v>3732480</v>
      </c>
      <c r="H648" s="18" t="s">
        <v>14</v>
      </c>
    </row>
    <row r="649" spans="1:8" outlineLevel="1">
      <c r="A649" s="18">
        <v>642</v>
      </c>
      <c r="B649" s="9" t="s">
        <v>1904</v>
      </c>
      <c r="C649" s="10" t="s">
        <v>1905</v>
      </c>
      <c r="D649" s="10" t="s">
        <v>1906</v>
      </c>
      <c r="E649" s="8">
        <v>1000.0</v>
      </c>
      <c r="F649" s="15">
        <v>5285.0</v>
      </c>
      <c r="G649" s="13">
        <f>F649*649</f>
        <v>3429965</v>
      </c>
      <c r="H649" s="18" t="s">
        <v>14</v>
      </c>
    </row>
    <row r="650" spans="1:8" outlineLevel="1">
      <c r="A650" s="18">
        <v>643</v>
      </c>
      <c r="B650" s="9" t="s">
        <v>1907</v>
      </c>
      <c r="C650" s="10" t="s">
        <v>1908</v>
      </c>
      <c r="D650" s="10" t="s">
        <v>1909</v>
      </c>
      <c r="E650" s="8">
        <v>1000.0</v>
      </c>
      <c r="F650" s="15">
        <v>6165.0</v>
      </c>
      <c r="G650" s="13">
        <f>F650*650</f>
        <v>4007250</v>
      </c>
      <c r="H650" s="18" t="s">
        <v>14</v>
      </c>
    </row>
    <row r="651" spans="1:8" outlineLevel="1">
      <c r="A651" s="18">
        <v>644</v>
      </c>
      <c r="B651" s="9" t="s">
        <v>1910</v>
      </c>
      <c r="C651" s="10" t="s">
        <v>1911</v>
      </c>
      <c r="D651" s="10" t="s">
        <v>1912</v>
      </c>
      <c r="E651" s="8" t="s">
        <v>23</v>
      </c>
      <c r="F651" s="15">
        <v>266.0</v>
      </c>
      <c r="G651" s="13">
        <f>F651*651</f>
        <v>173166</v>
      </c>
      <c r="H651" s="18" t="s">
        <v>14</v>
      </c>
    </row>
    <row r="652" spans="1:8" outlineLevel="1">
      <c r="A652" s="18">
        <v>645</v>
      </c>
      <c r="B652" s="9" t="s">
        <v>1913</v>
      </c>
      <c r="C652" s="10" t="s">
        <v>1914</v>
      </c>
      <c r="D652" s="10" t="s">
        <v>1915</v>
      </c>
      <c r="E652" s="8">
        <v>1000.0</v>
      </c>
      <c r="F652" s="15">
        <v>4798.0</v>
      </c>
      <c r="G652" s="13">
        <f>F652*652</f>
        <v>3128296</v>
      </c>
      <c r="H652" s="18" t="s">
        <v>14</v>
      </c>
    </row>
    <row r="653" spans="1:8" outlineLevel="1">
      <c r="A653" s="18">
        <v>646</v>
      </c>
      <c r="B653" s="9" t="s">
        <v>1916</v>
      </c>
      <c r="C653" s="10" t="s">
        <v>1917</v>
      </c>
      <c r="D653" s="10" t="s">
        <v>1918</v>
      </c>
      <c r="E653" s="8" t="s">
        <v>23</v>
      </c>
      <c r="F653" s="15">
        <v>7528.0</v>
      </c>
      <c r="G653" s="13">
        <f>F653*653</f>
        <v>4915784</v>
      </c>
      <c r="H653" s="18" t="s">
        <v>14</v>
      </c>
    </row>
    <row r="654" spans="1:8" outlineLevel="1">
      <c r="A654" s="18">
        <v>647</v>
      </c>
      <c r="B654" s="9" t="s">
        <v>1919</v>
      </c>
      <c r="C654" s="10" t="s">
        <v>1920</v>
      </c>
      <c r="D654" s="10" t="s">
        <v>1921</v>
      </c>
      <c r="E654" s="8" t="s">
        <v>23</v>
      </c>
      <c r="F654" s="15">
        <v>4495.0</v>
      </c>
      <c r="G654" s="13">
        <f>F654*654</f>
        <v>2939730</v>
      </c>
      <c r="H654" s="18" t="s">
        <v>14</v>
      </c>
    </row>
    <row r="655" spans="1:8" outlineLevel="1">
      <c r="A655" s="18">
        <v>648</v>
      </c>
      <c r="B655" s="9" t="s">
        <v>1922</v>
      </c>
      <c r="C655" s="10" t="s">
        <v>1923</v>
      </c>
      <c r="D655" s="10" t="s">
        <v>1924</v>
      </c>
      <c r="E655" s="8" t="s">
        <v>23</v>
      </c>
      <c r="F655" s="15">
        <v>2285.0</v>
      </c>
      <c r="G655" s="13">
        <f>F655*655</f>
        <v>1496675</v>
      </c>
      <c r="H655" s="18" t="s">
        <v>14</v>
      </c>
    </row>
    <row r="656" spans="1:8" outlineLevel="1">
      <c r="A656" s="18">
        <v>649</v>
      </c>
      <c r="B656" s="9" t="s">
        <v>1925</v>
      </c>
      <c r="C656" s="10" t="s">
        <v>1926</v>
      </c>
      <c r="D656" s="10" t="s">
        <v>1927</v>
      </c>
      <c r="E656" s="8" t="s">
        <v>23</v>
      </c>
      <c r="F656" s="15">
        <v>3422.0</v>
      </c>
      <c r="G656" s="13">
        <f>F656*656</f>
        <v>2244832</v>
      </c>
      <c r="H656" s="18" t="s">
        <v>14</v>
      </c>
    </row>
    <row r="657" spans="1:8" outlineLevel="1">
      <c r="A657" s="18">
        <v>650</v>
      </c>
      <c r="B657" s="9" t="s">
        <v>1928</v>
      </c>
      <c r="C657" s="10" t="s">
        <v>1929</v>
      </c>
      <c r="D657" s="10" t="s">
        <v>1930</v>
      </c>
      <c r="E657" s="8" t="s">
        <v>23</v>
      </c>
      <c r="F657" s="15">
        <v>3188.0</v>
      </c>
      <c r="G657" s="13">
        <f>F657*657</f>
        <v>2094516</v>
      </c>
      <c r="H657" s="18" t="s">
        <v>14</v>
      </c>
    </row>
    <row r="658" spans="1:8" outlineLevel="1">
      <c r="A658" s="18">
        <v>651</v>
      </c>
      <c r="B658" s="9" t="s">
        <v>1931</v>
      </c>
      <c r="C658" s="10" t="s">
        <v>1932</v>
      </c>
      <c r="D658" s="10" t="s">
        <v>1933</v>
      </c>
      <c r="E658" s="8" t="s">
        <v>23</v>
      </c>
      <c r="F658" s="15">
        <v>5525.0</v>
      </c>
      <c r="G658" s="13">
        <f>F658*658</f>
        <v>3635450</v>
      </c>
      <c r="H658" s="18" t="s">
        <v>14</v>
      </c>
    </row>
    <row r="659" spans="1:8" outlineLevel="1">
      <c r="A659" s="18">
        <v>652</v>
      </c>
      <c r="B659" s="9" t="s">
        <v>1934</v>
      </c>
      <c r="C659" s="10" t="s">
        <v>1935</v>
      </c>
      <c r="D659" s="10" t="s">
        <v>1936</v>
      </c>
      <c r="E659" s="8" t="s">
        <v>23</v>
      </c>
      <c r="F659" s="15">
        <v>2765.0</v>
      </c>
      <c r="G659" s="13">
        <f>F659*659</f>
        <v>1822135</v>
      </c>
      <c r="H659" s="18" t="s">
        <v>14</v>
      </c>
    </row>
    <row r="660" spans="1:8" outlineLevel="1">
      <c r="A660" s="18">
        <v>653</v>
      </c>
      <c r="B660" s="9" t="s">
        <v>1937</v>
      </c>
      <c r="C660" s="10" t="s">
        <v>1938</v>
      </c>
      <c r="D660" s="10" t="s">
        <v>1939</v>
      </c>
      <c r="E660" s="8" t="s">
        <v>23</v>
      </c>
      <c r="F660" s="15">
        <v>2094.0</v>
      </c>
      <c r="G660" s="13">
        <f>F660*660</f>
        <v>1382040</v>
      </c>
      <c r="H660" s="18" t="s">
        <v>14</v>
      </c>
    </row>
    <row r="661" spans="1:8" outlineLevel="1">
      <c r="A661" s="18">
        <v>654</v>
      </c>
      <c r="B661" s="9" t="s">
        <v>1940</v>
      </c>
      <c r="C661" s="10" t="s">
        <v>1941</v>
      </c>
      <c r="D661" s="10" t="s">
        <v>1942</v>
      </c>
      <c r="E661" s="8" t="s">
        <v>23</v>
      </c>
      <c r="F661" s="15">
        <v>5093.0</v>
      </c>
      <c r="G661" s="13">
        <f>F661*661</f>
        <v>3366473</v>
      </c>
      <c r="H661" s="18" t="s">
        <v>14</v>
      </c>
    </row>
    <row r="662" spans="1:8" outlineLevel="1">
      <c r="A662" s="18">
        <v>655</v>
      </c>
      <c r="B662" s="9" t="s">
        <v>1943</v>
      </c>
      <c r="C662" s="10" t="s">
        <v>1944</v>
      </c>
      <c r="D662" s="10" t="s">
        <v>1945</v>
      </c>
      <c r="E662" s="8" t="s">
        <v>23</v>
      </c>
      <c r="F662" s="15">
        <v>3908.0</v>
      </c>
      <c r="G662" s="13">
        <f>F662*662</f>
        <v>2587096</v>
      </c>
      <c r="H662" s="18" t="s">
        <v>14</v>
      </c>
    </row>
    <row r="663" spans="1:8" outlineLevel="1">
      <c r="A663" s="18">
        <v>656</v>
      </c>
      <c r="B663" s="9" t="s">
        <v>1946</v>
      </c>
      <c r="C663" s="10" t="s">
        <v>1947</v>
      </c>
      <c r="D663" s="10" t="s">
        <v>1948</v>
      </c>
      <c r="E663" s="8" t="s">
        <v>23</v>
      </c>
      <c r="F663" s="15">
        <v>18805.0</v>
      </c>
      <c r="G663" s="13">
        <f>F663*663</f>
        <v>12467715</v>
      </c>
      <c r="H663" s="18" t="s">
        <v>14</v>
      </c>
    </row>
    <row r="664" spans="1:8" outlineLevel="1">
      <c r="A664" s="18">
        <v>657</v>
      </c>
      <c r="B664" s="9" t="s">
        <v>1949</v>
      </c>
      <c r="C664" s="10" t="s">
        <v>1950</v>
      </c>
      <c r="D664" s="10" t="s">
        <v>1951</v>
      </c>
      <c r="E664" s="8" t="s">
        <v>23</v>
      </c>
      <c r="F664" s="15">
        <v>287.0</v>
      </c>
      <c r="G664" s="13">
        <f>F664*664</f>
        <v>190568</v>
      </c>
      <c r="H664" s="18" t="s">
        <v>14</v>
      </c>
    </row>
    <row r="665" spans="1:8" outlineLevel="1">
      <c r="A665" s="18">
        <v>658</v>
      </c>
      <c r="B665" s="9" t="s">
        <v>1952</v>
      </c>
      <c r="C665" s="10" t="s">
        <v>1953</v>
      </c>
      <c r="D665" s="10" t="s">
        <v>1954</v>
      </c>
      <c r="E665" s="8">
        <v>1000.0</v>
      </c>
      <c r="F665" s="15">
        <v>4231.0</v>
      </c>
      <c r="G665" s="13">
        <f>F665*665</f>
        <v>2813615</v>
      </c>
      <c r="H665" s="18" t="s">
        <v>14</v>
      </c>
    </row>
    <row r="666" spans="1:8" outlineLevel="1">
      <c r="A666" s="18">
        <v>659</v>
      </c>
      <c r="B666" s="9" t="s">
        <v>1955</v>
      </c>
      <c r="C666" s="10" t="s">
        <v>1956</v>
      </c>
      <c r="D666" s="10" t="s">
        <v>1957</v>
      </c>
      <c r="E666" s="8">
        <v>1000.0</v>
      </c>
      <c r="F666" s="15">
        <v>4075.0</v>
      </c>
      <c r="G666" s="13">
        <f>F666*666</f>
        <v>2713950</v>
      </c>
      <c r="H666" s="18" t="s">
        <v>14</v>
      </c>
    </row>
    <row r="667" spans="1:8" outlineLevel="1">
      <c r="A667" s="18">
        <v>660</v>
      </c>
      <c r="B667" s="9" t="s">
        <v>1958</v>
      </c>
      <c r="C667" s="10" t="s">
        <v>1959</v>
      </c>
      <c r="D667" s="10" t="s">
        <v>1960</v>
      </c>
      <c r="E667" s="8">
        <v>1000.0</v>
      </c>
      <c r="F667" s="15">
        <v>2361.0</v>
      </c>
      <c r="G667" s="13">
        <f>F667*667</f>
        <v>1574787</v>
      </c>
      <c r="H667" s="18" t="s">
        <v>14</v>
      </c>
    </row>
    <row r="668" spans="1:8" outlineLevel="1">
      <c r="A668" s="18">
        <v>661</v>
      </c>
      <c r="B668" s="9" t="s">
        <v>1961</v>
      </c>
      <c r="C668" s="10" t="s">
        <v>1959</v>
      </c>
      <c r="D668" s="10" t="s">
        <v>1962</v>
      </c>
      <c r="E668" s="8">
        <v>1000.0</v>
      </c>
      <c r="F668" s="15">
        <v>2361.0</v>
      </c>
      <c r="G668" s="13">
        <f>F668*668</f>
        <v>1577148</v>
      </c>
      <c r="H668" s="18" t="s">
        <v>14</v>
      </c>
    </row>
    <row r="669" spans="1:8" outlineLevel="1">
      <c r="A669" s="18">
        <v>662</v>
      </c>
      <c r="B669" s="9" t="s">
        <v>1963</v>
      </c>
      <c r="C669" s="10" t="s">
        <v>1959</v>
      </c>
      <c r="D669" s="10" t="s">
        <v>1964</v>
      </c>
      <c r="E669" s="8">
        <v>1000.0</v>
      </c>
      <c r="F669" s="15">
        <v>0.0</v>
      </c>
      <c r="G669" s="13">
        <f>F669*669</f>
        <v>0</v>
      </c>
      <c r="H669" s="18" t="s">
        <v>14</v>
      </c>
    </row>
    <row r="670" spans="1:8" outlineLevel="1">
      <c r="A670" s="18">
        <v>663</v>
      </c>
      <c r="B670" s="9" t="s">
        <v>1965</v>
      </c>
      <c r="C670" s="10" t="s">
        <v>1966</v>
      </c>
      <c r="D670" s="10" t="s">
        <v>1967</v>
      </c>
      <c r="E670" s="8">
        <v>1000.0</v>
      </c>
      <c r="F670" s="15">
        <v>6735.0</v>
      </c>
      <c r="G670" s="13">
        <f>F670*670</f>
        <v>4512450</v>
      </c>
      <c r="H670" s="18" t="s">
        <v>14</v>
      </c>
    </row>
    <row r="671" spans="1:8" outlineLevel="1">
      <c r="A671" s="18">
        <v>664</v>
      </c>
      <c r="B671" s="9" t="s">
        <v>1968</v>
      </c>
      <c r="C671" s="10" t="s">
        <v>1969</v>
      </c>
      <c r="D671" s="10" t="s">
        <v>1970</v>
      </c>
      <c r="E671" s="8" t="s">
        <v>23</v>
      </c>
      <c r="F671" s="15">
        <v>0.0</v>
      </c>
      <c r="G671" s="13">
        <f>F671*671</f>
        <v>0</v>
      </c>
      <c r="H671" s="18" t="s">
        <v>14</v>
      </c>
    </row>
    <row r="672" spans="1:8" outlineLevel="1">
      <c r="A672" s="18">
        <v>665</v>
      </c>
      <c r="B672" s="9" t="s">
        <v>1971</v>
      </c>
      <c r="C672" s="10" t="s">
        <v>1972</v>
      </c>
      <c r="D672" s="10" t="s">
        <v>1973</v>
      </c>
      <c r="E672" s="8">
        <v>1000.0</v>
      </c>
      <c r="F672" s="15">
        <v>2796.0</v>
      </c>
      <c r="G672" s="13">
        <f>F672*672</f>
        <v>1878912</v>
      </c>
      <c r="H672" s="18" t="s">
        <v>14</v>
      </c>
    </row>
    <row r="673" spans="1:8" outlineLevel="1">
      <c r="A673" s="18">
        <v>666</v>
      </c>
      <c r="B673" s="9" t="s">
        <v>1974</v>
      </c>
      <c r="C673" s="10" t="s">
        <v>1975</v>
      </c>
      <c r="D673" s="10" t="s">
        <v>1976</v>
      </c>
      <c r="E673" s="8">
        <v>1000.0</v>
      </c>
      <c r="F673" s="15">
        <v>2278.0</v>
      </c>
      <c r="G673" s="13">
        <f>F673*673</f>
        <v>1533094</v>
      </c>
      <c r="H673" s="18" t="s">
        <v>14</v>
      </c>
    </row>
    <row r="674" spans="1:8" outlineLevel="1">
      <c r="A674" s="18">
        <v>667</v>
      </c>
      <c r="B674" s="9" t="s">
        <v>1977</v>
      </c>
      <c r="C674" s="10" t="s">
        <v>1978</v>
      </c>
      <c r="D674" s="10" t="s">
        <v>1979</v>
      </c>
      <c r="E674" s="8">
        <v>1000.0</v>
      </c>
      <c r="F674" s="15">
        <v>3635.0</v>
      </c>
      <c r="G674" s="13">
        <f>F674*674</f>
        <v>2449990</v>
      </c>
      <c r="H674" s="18" t="s">
        <v>14</v>
      </c>
    </row>
    <row r="675" spans="1:8" outlineLevel="1">
      <c r="A675" s="18">
        <v>668</v>
      </c>
      <c r="B675" s="9" t="s">
        <v>1980</v>
      </c>
      <c r="C675" s="10" t="s">
        <v>1981</v>
      </c>
      <c r="D675" s="10" t="s">
        <v>1982</v>
      </c>
      <c r="E675" s="8">
        <v>1000.0</v>
      </c>
      <c r="F675" s="15">
        <v>2800.0</v>
      </c>
      <c r="G675" s="13">
        <f>F675*675</f>
        <v>1890000</v>
      </c>
      <c r="H675" s="18" t="s">
        <v>14</v>
      </c>
    </row>
    <row r="676" spans="1:8" outlineLevel="1">
      <c r="A676" s="18">
        <v>669</v>
      </c>
      <c r="B676" s="9" t="s">
        <v>1983</v>
      </c>
      <c r="C676" s="10" t="s">
        <v>1984</v>
      </c>
      <c r="D676" s="10" t="s">
        <v>1985</v>
      </c>
      <c r="E676" s="8">
        <v>1000.0</v>
      </c>
      <c r="F676" s="15">
        <v>5485.0</v>
      </c>
      <c r="G676" s="13">
        <f>F676*676</f>
        <v>3707860</v>
      </c>
      <c r="H676" s="18" t="s">
        <v>14</v>
      </c>
    </row>
    <row r="677" spans="1:8" outlineLevel="1">
      <c r="A677" s="18">
        <v>670</v>
      </c>
      <c r="B677" s="9" t="s">
        <v>1986</v>
      </c>
      <c r="C677" s="10" t="s">
        <v>1987</v>
      </c>
      <c r="D677" s="10" t="s">
        <v>1988</v>
      </c>
      <c r="E677" s="8">
        <v>1000.0</v>
      </c>
      <c r="F677" s="15">
        <v>3183.0</v>
      </c>
      <c r="G677" s="13">
        <f>F677*677</f>
        <v>2154891</v>
      </c>
      <c r="H677" s="18" t="s">
        <v>14</v>
      </c>
    </row>
    <row r="678" spans="1:8" outlineLevel="1">
      <c r="A678" s="18">
        <v>671</v>
      </c>
      <c r="B678" s="9" t="s">
        <v>1989</v>
      </c>
      <c r="C678" s="10" t="s">
        <v>1990</v>
      </c>
      <c r="D678" s="10" t="s">
        <v>1991</v>
      </c>
      <c r="E678" s="8">
        <v>1000.0</v>
      </c>
      <c r="F678" s="15">
        <v>4169.0</v>
      </c>
      <c r="G678" s="13">
        <f>F678*678</f>
        <v>2826582</v>
      </c>
      <c r="H678" s="18" t="s">
        <v>14</v>
      </c>
    </row>
    <row r="679" spans="1:8" outlineLevel="1">
      <c r="A679" s="18">
        <v>672</v>
      </c>
      <c r="B679" s="9" t="s">
        <v>1992</v>
      </c>
      <c r="C679" s="10" t="s">
        <v>1993</v>
      </c>
      <c r="D679" s="10" t="s">
        <v>1994</v>
      </c>
      <c r="E679" s="8">
        <v>1000.0</v>
      </c>
      <c r="F679" s="15">
        <v>7099.0</v>
      </c>
      <c r="G679" s="13">
        <f>F679*679</f>
        <v>4820221</v>
      </c>
      <c r="H679" s="18" t="s">
        <v>14</v>
      </c>
    </row>
    <row r="680" spans="1:8" outlineLevel="1">
      <c r="A680" s="18">
        <v>673</v>
      </c>
      <c r="B680" s="9" t="s">
        <v>1995</v>
      </c>
      <c r="C680" s="10" t="s">
        <v>1996</v>
      </c>
      <c r="D680" s="10" t="s">
        <v>1997</v>
      </c>
      <c r="E680" s="8">
        <v>1000.0</v>
      </c>
      <c r="F680" s="15">
        <v>4531.0</v>
      </c>
      <c r="G680" s="13">
        <f>F680*680</f>
        <v>3081080</v>
      </c>
      <c r="H680" s="18" t="s">
        <v>14</v>
      </c>
    </row>
    <row r="681" spans="1:8" outlineLevel="1">
      <c r="A681" s="18">
        <v>674</v>
      </c>
      <c r="B681" s="9" t="s">
        <v>1998</v>
      </c>
      <c r="C681" s="10" t="s">
        <v>1999</v>
      </c>
      <c r="D681" s="10" t="s">
        <v>2000</v>
      </c>
      <c r="E681" s="8">
        <v>1000.0</v>
      </c>
      <c r="F681" s="15">
        <v>4729.0</v>
      </c>
      <c r="G681" s="13">
        <f>F681*681</f>
        <v>3220449</v>
      </c>
      <c r="H681" s="18" t="s">
        <v>14</v>
      </c>
    </row>
    <row r="682" spans="1:8" outlineLevel="1">
      <c r="A682" s="18">
        <v>675</v>
      </c>
      <c r="B682" s="9" t="s">
        <v>2001</v>
      </c>
      <c r="C682" s="10" t="s">
        <v>2002</v>
      </c>
      <c r="D682" s="10" t="s">
        <v>2003</v>
      </c>
      <c r="E682" s="8">
        <v>1000.0</v>
      </c>
      <c r="F682" s="15">
        <v>6227.0</v>
      </c>
      <c r="G682" s="13">
        <f>F682*682</f>
        <v>4246814</v>
      </c>
      <c r="H682" s="18" t="s">
        <v>14</v>
      </c>
    </row>
    <row r="683" spans="1:8" outlineLevel="1">
      <c r="A683" s="18">
        <v>676</v>
      </c>
      <c r="B683" s="9" t="s">
        <v>15</v>
      </c>
      <c r="C683" s="10" t="s">
        <v>2004</v>
      </c>
      <c r="D683" s="10" t="s">
        <v>2005</v>
      </c>
      <c r="E683" s="8">
        <v>1000.0</v>
      </c>
      <c r="F683" s="15">
        <v>1500.0</v>
      </c>
      <c r="G683" s="13">
        <f>F683*683</f>
        <v>1024500</v>
      </c>
      <c r="H683" s="18" t="s">
        <v>14</v>
      </c>
    </row>
    <row r="684" spans="1:8" outlineLevel="1">
      <c r="A684" s="18">
        <v>677</v>
      </c>
      <c r="B684" s="9" t="s">
        <v>2006</v>
      </c>
      <c r="C684" s="10" t="s">
        <v>2007</v>
      </c>
      <c r="D684" s="10" t="s">
        <v>2008</v>
      </c>
      <c r="E684" s="8">
        <v>1000.0</v>
      </c>
      <c r="F684" s="15">
        <v>2377.0</v>
      </c>
      <c r="G684" s="13">
        <f>F684*684</f>
        <v>1625868</v>
      </c>
      <c r="H684" s="18" t="s">
        <v>14</v>
      </c>
    </row>
    <row r="685" spans="1:8" outlineLevel="1">
      <c r="A685" s="18">
        <v>678</v>
      </c>
      <c r="B685" s="9" t="s">
        <v>2009</v>
      </c>
      <c r="C685" s="10" t="s">
        <v>2010</v>
      </c>
      <c r="D685" s="10" t="s">
        <v>2011</v>
      </c>
      <c r="E685" s="8">
        <v>1000.0</v>
      </c>
      <c r="F685" s="15">
        <v>5281.0</v>
      </c>
      <c r="G685" s="13">
        <f>F685*685</f>
        <v>3617485</v>
      </c>
      <c r="H685" s="18" t="s">
        <v>14</v>
      </c>
    </row>
    <row r="686" spans="1:8" outlineLevel="1">
      <c r="A686" s="18">
        <v>679</v>
      </c>
      <c r="B686" s="9" t="s">
        <v>2012</v>
      </c>
      <c r="C686" s="10" t="s">
        <v>2013</v>
      </c>
      <c r="D686" s="10" t="s">
        <v>2014</v>
      </c>
      <c r="E686" s="8" t="s">
        <v>23</v>
      </c>
      <c r="F686" s="15">
        <v>60.0</v>
      </c>
      <c r="G686" s="13">
        <f>F686*686</f>
        <v>41160</v>
      </c>
      <c r="H686" s="18" t="s">
        <v>14</v>
      </c>
    </row>
    <row r="687" spans="1:8" outlineLevel="1">
      <c r="A687" s="18">
        <v>680</v>
      </c>
      <c r="B687" s="9" t="s">
        <v>2015</v>
      </c>
      <c r="C687" s="10" t="s">
        <v>2016</v>
      </c>
      <c r="D687" s="10" t="s">
        <v>2017</v>
      </c>
      <c r="E687" s="8" t="s">
        <v>23</v>
      </c>
      <c r="F687" s="15">
        <v>243.0</v>
      </c>
      <c r="G687" s="13">
        <f>F687*687</f>
        <v>166941</v>
      </c>
      <c r="H687" s="18" t="s">
        <v>14</v>
      </c>
    </row>
    <row r="688" spans="1:8" outlineLevel="1">
      <c r="A688" s="18">
        <v>681</v>
      </c>
      <c r="B688" s="9" t="s">
        <v>2018</v>
      </c>
      <c r="C688" s="10" t="s">
        <v>2019</v>
      </c>
      <c r="D688" s="10" t="s">
        <v>2020</v>
      </c>
      <c r="E688" s="8" t="s">
        <v>23</v>
      </c>
      <c r="F688" s="15">
        <v>333.0</v>
      </c>
      <c r="G688" s="13">
        <f>F688*688</f>
        <v>229104</v>
      </c>
      <c r="H688" s="18" t="s">
        <v>14</v>
      </c>
    </row>
    <row r="689" spans="1:8" outlineLevel="1">
      <c r="A689" s="18">
        <v>682</v>
      </c>
      <c r="B689" s="9" t="s">
        <v>2021</v>
      </c>
      <c r="C689" s="10" t="s">
        <v>2022</v>
      </c>
      <c r="D689" s="10" t="s">
        <v>2023</v>
      </c>
      <c r="E689" s="8" t="s">
        <v>23</v>
      </c>
      <c r="F689" s="15">
        <v>3072.0</v>
      </c>
      <c r="G689" s="13">
        <f>F689*689</f>
        <v>2116608</v>
      </c>
      <c r="H689" s="18" t="s">
        <v>14</v>
      </c>
    </row>
    <row r="690" spans="1:8" outlineLevel="1">
      <c r="A690" s="18">
        <v>683</v>
      </c>
      <c r="B690" s="9" t="s">
        <v>2024</v>
      </c>
      <c r="C690" s="10" t="s">
        <v>2025</v>
      </c>
      <c r="D690" s="10" t="s">
        <v>2026</v>
      </c>
      <c r="E690" s="8" t="s">
        <v>23</v>
      </c>
      <c r="F690" s="15">
        <v>4704.0</v>
      </c>
      <c r="G690" s="13">
        <f>F690*690</f>
        <v>3245760</v>
      </c>
      <c r="H690" s="18" t="s">
        <v>14</v>
      </c>
    </row>
    <row r="691" spans="1:8" outlineLevel="1">
      <c r="A691" s="18">
        <v>684</v>
      </c>
      <c r="B691" s="9" t="s">
        <v>2027</v>
      </c>
      <c r="C691" s="10" t="s">
        <v>2028</v>
      </c>
      <c r="D691" s="10" t="s">
        <v>2029</v>
      </c>
      <c r="E691" s="8" t="s">
        <v>23</v>
      </c>
      <c r="F691" s="15">
        <v>1031.0</v>
      </c>
      <c r="G691" s="13">
        <f>F691*691</f>
        <v>712421</v>
      </c>
      <c r="H691" s="18" t="s">
        <v>14</v>
      </c>
    </row>
    <row r="692" spans="1:8" outlineLevel="1">
      <c r="A692" s="18">
        <v>685</v>
      </c>
      <c r="B692" s="9" t="s">
        <v>2030</v>
      </c>
      <c r="C692" s="10" t="s">
        <v>2031</v>
      </c>
      <c r="D692" s="10" t="s">
        <v>2032</v>
      </c>
      <c r="E692" s="8">
        <v>1000.0</v>
      </c>
      <c r="F692" s="15">
        <v>2211.0</v>
      </c>
      <c r="G692" s="13">
        <f>F692*692</f>
        <v>1530012</v>
      </c>
      <c r="H692" s="18" t="s">
        <v>14</v>
      </c>
    </row>
    <row r="693" spans="1:8" outlineLevel="1">
      <c r="A693" s="18">
        <v>686</v>
      </c>
      <c r="B693" s="9" t="s">
        <v>2033</v>
      </c>
      <c r="C693" s="10" t="s">
        <v>2034</v>
      </c>
      <c r="D693" s="10" t="s">
        <v>2035</v>
      </c>
      <c r="E693" s="8">
        <v>1000.0</v>
      </c>
      <c r="F693" s="15">
        <v>2517.0</v>
      </c>
      <c r="G693" s="13">
        <f>F693*693</f>
        <v>1744281</v>
      </c>
      <c r="H693" s="18" t="s">
        <v>14</v>
      </c>
    </row>
    <row r="694" spans="1:8" outlineLevel="1">
      <c r="A694" s="18">
        <v>687</v>
      </c>
      <c r="B694" s="9" t="s">
        <v>2036</v>
      </c>
      <c r="C694" s="10" t="s">
        <v>2037</v>
      </c>
      <c r="D694" s="10" t="s">
        <v>2038</v>
      </c>
      <c r="E694" s="8" t="s">
        <v>23</v>
      </c>
      <c r="F694" s="15">
        <v>7932.0</v>
      </c>
      <c r="G694" s="13">
        <f>F694*694</f>
        <v>5504808</v>
      </c>
      <c r="H694" s="18" t="s">
        <v>14</v>
      </c>
    </row>
    <row r="695" spans="1:8" outlineLevel="1">
      <c r="A695" s="18">
        <v>688</v>
      </c>
      <c r="B695" s="9" t="s">
        <v>2039</v>
      </c>
      <c r="C695" s="10" t="s">
        <v>2040</v>
      </c>
      <c r="D695" s="10" t="s">
        <v>2041</v>
      </c>
      <c r="E695" s="8" t="s">
        <v>23</v>
      </c>
      <c r="F695" s="15">
        <v>2111.0</v>
      </c>
      <c r="G695" s="13">
        <f>F695*695</f>
        <v>1467145</v>
      </c>
      <c r="H695" s="18" t="s">
        <v>14</v>
      </c>
    </row>
    <row r="696" spans="1:8" outlineLevel="1">
      <c r="A696" s="18">
        <v>689</v>
      </c>
      <c r="B696" s="9" t="s">
        <v>2042</v>
      </c>
      <c r="C696" s="10" t="s">
        <v>2043</v>
      </c>
      <c r="D696" s="10" t="s">
        <v>2044</v>
      </c>
      <c r="E696" s="8" t="s">
        <v>23</v>
      </c>
      <c r="F696" s="15">
        <v>2233.0</v>
      </c>
      <c r="G696" s="13">
        <f>F696*696</f>
        <v>1554168</v>
      </c>
      <c r="H696" s="18" t="s">
        <v>14</v>
      </c>
    </row>
    <row r="697" spans="1:8" outlineLevel="1">
      <c r="A697" s="18">
        <v>690</v>
      </c>
      <c r="B697" s="9" t="s">
        <v>2045</v>
      </c>
      <c r="C697" s="10" t="s">
        <v>2046</v>
      </c>
      <c r="D697" s="10" t="s">
        <v>2047</v>
      </c>
      <c r="E697" s="8" t="s">
        <v>23</v>
      </c>
      <c r="F697" s="15">
        <v>5781.0</v>
      </c>
      <c r="G697" s="13">
        <f>F697*697</f>
        <v>4029357</v>
      </c>
      <c r="H697" s="18" t="s">
        <v>14</v>
      </c>
    </row>
    <row r="698" spans="1:8" outlineLevel="1">
      <c r="A698" s="18">
        <v>691</v>
      </c>
      <c r="B698" s="9" t="s">
        <v>2048</v>
      </c>
      <c r="C698" s="10" t="s">
        <v>2049</v>
      </c>
      <c r="D698" s="10" t="s">
        <v>2050</v>
      </c>
      <c r="E698" s="8" t="s">
        <v>23</v>
      </c>
      <c r="F698" s="15">
        <v>2210.0</v>
      </c>
      <c r="G698" s="13">
        <f>F698*698</f>
        <v>1542580</v>
      </c>
      <c r="H698" s="18" t="s">
        <v>14</v>
      </c>
    </row>
    <row r="699" spans="1:8" outlineLevel="1">
      <c r="A699" s="18">
        <v>692</v>
      </c>
      <c r="B699" s="9" t="s">
        <v>2051</v>
      </c>
      <c r="C699" s="10" t="s">
        <v>2052</v>
      </c>
      <c r="D699" s="10" t="s">
        <v>2053</v>
      </c>
      <c r="E699" s="8" t="s">
        <v>23</v>
      </c>
      <c r="F699" s="15">
        <v>2888.0</v>
      </c>
      <c r="G699" s="13">
        <f>F699*699</f>
        <v>2018712</v>
      </c>
      <c r="H699" s="18" t="s">
        <v>14</v>
      </c>
    </row>
    <row r="700" spans="1:8" outlineLevel="1">
      <c r="A700" s="18">
        <v>693</v>
      </c>
      <c r="B700" s="9" t="s">
        <v>2054</v>
      </c>
      <c r="C700" s="10" t="s">
        <v>2055</v>
      </c>
      <c r="D700" s="10" t="s">
        <v>2056</v>
      </c>
      <c r="E700" s="8" t="s">
        <v>23</v>
      </c>
      <c r="F700" s="15">
        <v>26668.0</v>
      </c>
      <c r="G700" s="13">
        <f>F700*700</f>
        <v>18667600</v>
      </c>
      <c r="H700" s="18" t="s">
        <v>14</v>
      </c>
    </row>
    <row r="701" spans="1:8" outlineLevel="1">
      <c r="A701" s="18">
        <v>694</v>
      </c>
      <c r="B701" s="9" t="s">
        <v>2057</v>
      </c>
      <c r="C701" s="10" t="s">
        <v>2058</v>
      </c>
      <c r="D701" s="10" t="s">
        <v>2059</v>
      </c>
      <c r="E701" s="8" t="s">
        <v>23</v>
      </c>
      <c r="F701" s="15">
        <v>16637.0</v>
      </c>
      <c r="G701" s="13">
        <f>F701*701</f>
        <v>11662537</v>
      </c>
      <c r="H701" s="18" t="s">
        <v>14</v>
      </c>
    </row>
    <row r="702" spans="1:8" outlineLevel="1">
      <c r="A702" s="18">
        <v>695</v>
      </c>
      <c r="B702" s="9" t="s">
        <v>2060</v>
      </c>
      <c r="C702" s="10" t="s">
        <v>2061</v>
      </c>
      <c r="D702" s="10" t="s">
        <v>2062</v>
      </c>
      <c r="E702" s="8" t="s">
        <v>23</v>
      </c>
      <c r="F702" s="15">
        <v>3073.0</v>
      </c>
      <c r="G702" s="13">
        <f>F702*702</f>
        <v>2157246</v>
      </c>
      <c r="H702" s="18" t="s">
        <v>14</v>
      </c>
    </row>
    <row r="703" spans="1:8" outlineLevel="1">
      <c r="A703" s="18">
        <v>696</v>
      </c>
      <c r="B703" s="9" t="s">
        <v>2063</v>
      </c>
      <c r="C703" s="10" t="s">
        <v>2064</v>
      </c>
      <c r="D703" s="10" t="s">
        <v>2065</v>
      </c>
      <c r="E703" s="8" t="s">
        <v>23</v>
      </c>
      <c r="F703" s="15">
        <v>4378.0</v>
      </c>
      <c r="G703" s="13">
        <f>F703*703</f>
        <v>3077734</v>
      </c>
      <c r="H703" s="18" t="s">
        <v>14</v>
      </c>
    </row>
    <row r="704" spans="1:8" outlineLevel="1">
      <c r="A704" s="18">
        <v>697</v>
      </c>
      <c r="B704" s="9" t="s">
        <v>2066</v>
      </c>
      <c r="C704" s="10" t="s">
        <v>2067</v>
      </c>
      <c r="D704" s="10" t="s">
        <v>2068</v>
      </c>
      <c r="E704" s="8" t="s">
        <v>23</v>
      </c>
      <c r="F704" s="15">
        <v>4435.0</v>
      </c>
      <c r="G704" s="13">
        <f>F704*704</f>
        <v>3122240</v>
      </c>
      <c r="H704" s="18" t="s">
        <v>14</v>
      </c>
    </row>
    <row r="705" spans="1:8" outlineLevel="1">
      <c r="A705" s="18">
        <v>698</v>
      </c>
      <c r="B705" s="9" t="s">
        <v>2069</v>
      </c>
      <c r="C705" s="10" t="s">
        <v>2070</v>
      </c>
      <c r="D705" s="10" t="s">
        <v>2071</v>
      </c>
      <c r="E705" s="8">
        <v>1000.0</v>
      </c>
      <c r="F705" s="15">
        <v>112020.0</v>
      </c>
      <c r="G705" s="13">
        <f>F705*705</f>
        <v>78974100</v>
      </c>
      <c r="H705" s="18" t="s">
        <v>14</v>
      </c>
    </row>
    <row r="706" spans="1:8" outlineLevel="1">
      <c r="A706" s="18">
        <v>699</v>
      </c>
      <c r="B706" s="9" t="s">
        <v>2072</v>
      </c>
      <c r="C706" s="10" t="s">
        <v>2073</v>
      </c>
      <c r="D706" s="10" t="s">
        <v>2074</v>
      </c>
      <c r="E706" s="8">
        <v>1000.0</v>
      </c>
      <c r="F706" s="15">
        <v>770.0</v>
      </c>
      <c r="G706" s="13">
        <f>F706*706</f>
        <v>543620</v>
      </c>
      <c r="H706" s="18" t="s">
        <v>14</v>
      </c>
    </row>
    <row r="707" spans="1:8" outlineLevel="1">
      <c r="A707" s="18">
        <v>700</v>
      </c>
      <c r="B707" s="9" t="s">
        <v>2075</v>
      </c>
      <c r="C707" s="10" t="s">
        <v>2076</v>
      </c>
      <c r="D707" s="10" t="s">
        <v>2077</v>
      </c>
      <c r="E707" s="8">
        <v>1000.0</v>
      </c>
      <c r="F707" s="15">
        <v>3637.0</v>
      </c>
      <c r="G707" s="13">
        <f>F707*707</f>
        <v>2571359</v>
      </c>
      <c r="H707" s="18" t="s">
        <v>14</v>
      </c>
    </row>
    <row r="708" spans="1:8" outlineLevel="1">
      <c r="A708" s="18">
        <v>701</v>
      </c>
      <c r="B708" s="9" t="s">
        <v>2078</v>
      </c>
      <c r="C708" s="10" t="s">
        <v>2079</v>
      </c>
      <c r="D708" s="10" t="s">
        <v>2080</v>
      </c>
      <c r="E708" s="8">
        <v>1000.0</v>
      </c>
      <c r="F708" s="15">
        <v>6363.0</v>
      </c>
      <c r="G708" s="13">
        <f>F708*708</f>
        <v>4505004</v>
      </c>
      <c r="H708" s="18" t="s">
        <v>14</v>
      </c>
    </row>
    <row r="709" spans="1:8" outlineLevel="1">
      <c r="A709" s="18">
        <v>702</v>
      </c>
      <c r="B709" s="9" t="s">
        <v>2081</v>
      </c>
      <c r="C709" s="10" t="s">
        <v>2082</v>
      </c>
      <c r="D709" s="10" t="s">
        <v>2083</v>
      </c>
      <c r="E709" s="8">
        <v>1000.0</v>
      </c>
      <c r="F709" s="15">
        <v>2877.0</v>
      </c>
      <c r="G709" s="13">
        <f>F709*709</f>
        <v>2039793</v>
      </c>
      <c r="H709" s="18" t="s">
        <v>14</v>
      </c>
    </row>
    <row r="710" spans="1:8" outlineLevel="1">
      <c r="A710" s="18">
        <v>703</v>
      </c>
      <c r="B710" s="9" t="s">
        <v>2084</v>
      </c>
      <c r="C710" s="10" t="s">
        <v>2085</v>
      </c>
      <c r="D710" s="10" t="s">
        <v>2086</v>
      </c>
      <c r="E710" s="8">
        <v>1000.0</v>
      </c>
      <c r="F710" s="15">
        <v>5485.0</v>
      </c>
      <c r="G710" s="13">
        <f>F710*710</f>
        <v>3894350</v>
      </c>
      <c r="H710" s="18" t="s">
        <v>14</v>
      </c>
    </row>
    <row r="711" spans="1:8" outlineLevel="1">
      <c r="A711" s="18">
        <v>704</v>
      </c>
      <c r="B711" s="9" t="s">
        <v>2087</v>
      </c>
      <c r="C711" s="10" t="s">
        <v>2088</v>
      </c>
      <c r="D711" s="10" t="s">
        <v>2089</v>
      </c>
      <c r="E711" s="8" t="s">
        <v>23</v>
      </c>
      <c r="F711" s="15">
        <v>81.0</v>
      </c>
      <c r="G711" s="13">
        <f>F711*711</f>
        <v>57591</v>
      </c>
      <c r="H711" s="18" t="s">
        <v>14</v>
      </c>
    </row>
    <row r="712" spans="1:8" outlineLevel="1">
      <c r="A712" s="18">
        <v>705</v>
      </c>
      <c r="B712" s="9" t="s">
        <v>2090</v>
      </c>
      <c r="C712" s="10" t="s">
        <v>2091</v>
      </c>
      <c r="D712" s="10" t="s">
        <v>2092</v>
      </c>
      <c r="E712" s="8" t="s">
        <v>23</v>
      </c>
      <c r="F712" s="15">
        <v>120.0</v>
      </c>
      <c r="G712" s="13">
        <f>F712*712</f>
        <v>85440</v>
      </c>
      <c r="H712" s="18" t="s">
        <v>14</v>
      </c>
    </row>
    <row r="713" spans="1:8" outlineLevel="1">
      <c r="A713" s="18">
        <v>706</v>
      </c>
      <c r="B713" s="9" t="s">
        <v>2093</v>
      </c>
      <c r="C713" s="10" t="s">
        <v>2094</v>
      </c>
      <c r="D713" s="10" t="s">
        <v>2095</v>
      </c>
      <c r="E713" s="8">
        <v>1000.0</v>
      </c>
      <c r="F713" s="15">
        <v>757.0</v>
      </c>
      <c r="G713" s="13">
        <f>F713*713</f>
        <v>539741</v>
      </c>
      <c r="H713" s="18" t="s">
        <v>14</v>
      </c>
    </row>
    <row r="714" spans="1:8" outlineLevel="1">
      <c r="A714" s="18">
        <v>707</v>
      </c>
      <c r="B714" s="9" t="s">
        <v>2096</v>
      </c>
      <c r="C714" s="10" t="s">
        <v>2097</v>
      </c>
      <c r="D714" s="10" t="s">
        <v>2098</v>
      </c>
      <c r="E714" s="8">
        <v>1000.0</v>
      </c>
      <c r="F714" s="15">
        <v>2353.0</v>
      </c>
      <c r="G714" s="13">
        <f>F714*714</f>
        <v>1680042</v>
      </c>
      <c r="H714" s="18" t="s">
        <v>14</v>
      </c>
    </row>
    <row r="715" spans="1:8" outlineLevel="1">
      <c r="A715" s="18">
        <v>708</v>
      </c>
      <c r="B715" s="9" t="s">
        <v>2099</v>
      </c>
      <c r="C715" s="10" t="s">
        <v>2100</v>
      </c>
      <c r="D715" s="10" t="s">
        <v>2101</v>
      </c>
      <c r="E715" s="8">
        <v>1000.0</v>
      </c>
      <c r="F715" s="15">
        <v>359.0</v>
      </c>
      <c r="G715" s="13">
        <f>F715*715</f>
        <v>256685</v>
      </c>
      <c r="H715" s="18" t="s">
        <v>14</v>
      </c>
    </row>
    <row r="716" spans="1:8" outlineLevel="1">
      <c r="A716" s="18">
        <v>709</v>
      </c>
      <c r="B716" s="9" t="s">
        <v>2102</v>
      </c>
      <c r="C716" s="10" t="s">
        <v>2103</v>
      </c>
      <c r="D716" s="10" t="s">
        <v>2104</v>
      </c>
      <c r="E716" s="8">
        <v>1000.0</v>
      </c>
      <c r="F716" s="15">
        <v>615.0</v>
      </c>
      <c r="G716" s="13">
        <f>F716*716</f>
        <v>440340</v>
      </c>
      <c r="H716" s="18" t="s">
        <v>14</v>
      </c>
    </row>
    <row r="717" spans="1:8" outlineLevel="1">
      <c r="A717" s="18">
        <v>710</v>
      </c>
      <c r="B717" s="9" t="s">
        <v>2105</v>
      </c>
      <c r="C717" s="10" t="s">
        <v>2106</v>
      </c>
      <c r="D717" s="10" t="s">
        <v>2107</v>
      </c>
      <c r="E717" s="8">
        <v>1000.0</v>
      </c>
      <c r="F717" s="15">
        <v>1808.0</v>
      </c>
      <c r="G717" s="13">
        <f>F717*717</f>
        <v>1296336</v>
      </c>
      <c r="H717" s="18" t="s">
        <v>14</v>
      </c>
    </row>
    <row r="718" spans="1:8" outlineLevel="1">
      <c r="A718" s="18">
        <v>711</v>
      </c>
      <c r="B718" s="9" t="s">
        <v>2108</v>
      </c>
      <c r="C718" s="10" t="s">
        <v>2109</v>
      </c>
      <c r="D718" s="10" t="s">
        <v>2110</v>
      </c>
      <c r="E718" s="8">
        <v>1000.0</v>
      </c>
      <c r="F718" s="15">
        <v>909.0</v>
      </c>
      <c r="G718" s="13">
        <f>F718*718</f>
        <v>652662</v>
      </c>
      <c r="H718" s="18" t="s">
        <v>14</v>
      </c>
    </row>
    <row r="719" spans="1:8" outlineLevel="1">
      <c r="A719" s="18">
        <v>712</v>
      </c>
      <c r="B719" s="9" t="s">
        <v>2111</v>
      </c>
      <c r="C719" s="10" t="s">
        <v>2112</v>
      </c>
      <c r="D719" s="10" t="s">
        <v>2113</v>
      </c>
      <c r="E719" s="8">
        <v>1000.0</v>
      </c>
      <c r="F719" s="15">
        <v>359.0</v>
      </c>
      <c r="G719" s="13">
        <f>F719*719</f>
        <v>258121</v>
      </c>
      <c r="H719" s="18" t="s">
        <v>14</v>
      </c>
    </row>
    <row r="720" spans="1:8" outlineLevel="1">
      <c r="A720" s="18">
        <v>713</v>
      </c>
      <c r="B720" s="9" t="s">
        <v>2114</v>
      </c>
      <c r="C720" s="10" t="s">
        <v>2115</v>
      </c>
      <c r="D720" s="10" t="s">
        <v>2116</v>
      </c>
      <c r="E720" s="8" t="s">
        <v>23</v>
      </c>
      <c r="F720" s="15">
        <v>233.0</v>
      </c>
      <c r="G720" s="13">
        <f>F720*720</f>
        <v>167760</v>
      </c>
      <c r="H720" s="18" t="s">
        <v>14</v>
      </c>
    </row>
    <row r="721" spans="1:8" outlineLevel="1">
      <c r="A721" s="18">
        <v>714</v>
      </c>
      <c r="B721" s="9" t="s">
        <v>2117</v>
      </c>
      <c r="C721" s="10" t="s">
        <v>2118</v>
      </c>
      <c r="D721" s="10" t="s">
        <v>2119</v>
      </c>
      <c r="E721" s="8" t="s">
        <v>23</v>
      </c>
      <c r="F721" s="15">
        <v>189.0</v>
      </c>
      <c r="G721" s="13">
        <f>F721*721</f>
        <v>136269</v>
      </c>
      <c r="H721" s="18" t="s">
        <v>14</v>
      </c>
    </row>
    <row r="722" spans="1:8" outlineLevel="1">
      <c r="A722" s="18">
        <v>715</v>
      </c>
      <c r="B722" s="9" t="s">
        <v>2120</v>
      </c>
      <c r="C722" s="10" t="s">
        <v>2121</v>
      </c>
      <c r="D722" s="10" t="s">
        <v>2122</v>
      </c>
      <c r="E722" s="8" t="s">
        <v>23</v>
      </c>
      <c r="F722" s="15">
        <v>371.0</v>
      </c>
      <c r="G722" s="13">
        <f>F722*722</f>
        <v>267862</v>
      </c>
      <c r="H722" s="18" t="s">
        <v>14</v>
      </c>
    </row>
    <row r="723" spans="1:8" outlineLevel="1">
      <c r="A723" s="18">
        <v>716</v>
      </c>
      <c r="B723" s="9" t="s">
        <v>2123</v>
      </c>
      <c r="C723" s="10" t="s">
        <v>2124</v>
      </c>
      <c r="D723" s="10" t="s">
        <v>2125</v>
      </c>
      <c r="E723" s="8" t="s">
        <v>23</v>
      </c>
      <c r="F723" s="15">
        <v>69.0</v>
      </c>
      <c r="G723" s="13">
        <f>F723*723</f>
        <v>49887</v>
      </c>
      <c r="H723" s="18" t="s">
        <v>14</v>
      </c>
    </row>
    <row r="724" spans="1:8" outlineLevel="1">
      <c r="A724" s="18">
        <v>717</v>
      </c>
      <c r="B724" s="9" t="s">
        <v>2126</v>
      </c>
      <c r="C724" s="10" t="s">
        <v>2127</v>
      </c>
      <c r="D724" s="10" t="s">
        <v>2128</v>
      </c>
      <c r="E724" s="8" t="s">
        <v>23</v>
      </c>
      <c r="F724" s="15">
        <v>36.0</v>
      </c>
      <c r="G724" s="13">
        <f>F724*724</f>
        <v>26064</v>
      </c>
      <c r="H724" s="18" t="s">
        <v>14</v>
      </c>
    </row>
    <row r="725" spans="1:8" outlineLevel="1">
      <c r="A725" s="18">
        <v>718</v>
      </c>
      <c r="B725" s="9" t="s">
        <v>2129</v>
      </c>
      <c r="C725" s="10" t="s">
        <v>2130</v>
      </c>
      <c r="D725" s="10" t="s">
        <v>2131</v>
      </c>
      <c r="E725" s="8" t="s">
        <v>23</v>
      </c>
      <c r="F725" s="15">
        <v>36.0</v>
      </c>
      <c r="G725" s="13">
        <f>F725*725</f>
        <v>26100</v>
      </c>
      <c r="H725" s="18" t="s">
        <v>14</v>
      </c>
    </row>
    <row r="726" spans="1:8" outlineLevel="1">
      <c r="A726" s="18">
        <v>719</v>
      </c>
      <c r="B726" s="9" t="s">
        <v>2132</v>
      </c>
      <c r="C726" s="10" t="s">
        <v>2133</v>
      </c>
      <c r="D726" s="10" t="s">
        <v>2134</v>
      </c>
      <c r="E726" s="8" t="s">
        <v>23</v>
      </c>
      <c r="F726" s="15">
        <v>47.0</v>
      </c>
      <c r="G726" s="13">
        <f>F726*726</f>
        <v>34122</v>
      </c>
      <c r="H726" s="18" t="s">
        <v>14</v>
      </c>
    </row>
    <row r="727" spans="1:8" outlineLevel="1">
      <c r="A727" s="18">
        <v>720</v>
      </c>
      <c r="B727" s="9" t="s">
        <v>2135</v>
      </c>
      <c r="C727" s="10" t="s">
        <v>2136</v>
      </c>
      <c r="D727" s="10" t="s">
        <v>2137</v>
      </c>
      <c r="E727" s="8">
        <v>1000.0</v>
      </c>
      <c r="F727" s="15">
        <v>3035.0</v>
      </c>
      <c r="G727" s="13">
        <f>F727*727</f>
        <v>2206445</v>
      </c>
      <c r="H727" s="18" t="s">
        <v>14</v>
      </c>
    </row>
    <row r="728" spans="1:8" outlineLevel="1">
      <c r="A728" s="18">
        <v>721</v>
      </c>
      <c r="B728" s="9" t="s">
        <v>2138</v>
      </c>
      <c r="C728" s="10" t="s">
        <v>2139</v>
      </c>
      <c r="D728" s="10" t="s">
        <v>2140</v>
      </c>
      <c r="E728" s="8" t="s">
        <v>23</v>
      </c>
      <c r="F728" s="15">
        <v>3600.0</v>
      </c>
      <c r="G728" s="13">
        <f>F728*728</f>
        <v>2620800</v>
      </c>
      <c r="H728" s="18" t="s">
        <v>14</v>
      </c>
    </row>
    <row r="729" spans="1:8" outlineLevel="1">
      <c r="A729" s="18">
        <v>722</v>
      </c>
      <c r="B729" s="9" t="s">
        <v>2141</v>
      </c>
      <c r="C729" s="10" t="s">
        <v>2142</v>
      </c>
      <c r="D729" s="10" t="s">
        <v>2143</v>
      </c>
      <c r="E729" s="8" t="s">
        <v>23</v>
      </c>
      <c r="F729" s="15">
        <v>3378.0</v>
      </c>
      <c r="G729" s="13">
        <f>F729*729</f>
        <v>2462562</v>
      </c>
      <c r="H729" s="18" t="s">
        <v>14</v>
      </c>
    </row>
    <row r="730" spans="1:8" outlineLevel="1">
      <c r="A730" s="18">
        <v>723</v>
      </c>
      <c r="B730" s="9" t="s">
        <v>2144</v>
      </c>
      <c r="C730" s="10" t="s">
        <v>2145</v>
      </c>
      <c r="D730" s="10" t="s">
        <v>2146</v>
      </c>
      <c r="E730" s="8" t="s">
        <v>23</v>
      </c>
      <c r="F730" s="15">
        <v>4349.0</v>
      </c>
      <c r="G730" s="13">
        <f>F730*730</f>
        <v>3174770</v>
      </c>
      <c r="H730" s="18" t="s">
        <v>14</v>
      </c>
    </row>
    <row r="731" spans="1:8" outlineLevel="1">
      <c r="A731" s="18">
        <v>724</v>
      </c>
      <c r="B731" s="9" t="s">
        <v>2147</v>
      </c>
      <c r="C731" s="10" t="s">
        <v>2148</v>
      </c>
      <c r="D731" s="10" t="s">
        <v>2149</v>
      </c>
      <c r="E731" s="8" t="s">
        <v>23</v>
      </c>
      <c r="F731" s="15">
        <v>6243.0</v>
      </c>
      <c r="G731" s="13">
        <f>F731*731</f>
        <v>4563633</v>
      </c>
      <c r="H731" s="18" t="s">
        <v>14</v>
      </c>
    </row>
    <row r="732" spans="1:8" outlineLevel="1">
      <c r="A732" s="18">
        <v>725</v>
      </c>
      <c r="B732" s="9" t="s">
        <v>2150</v>
      </c>
      <c r="C732" s="10" t="s">
        <v>2151</v>
      </c>
      <c r="D732" s="10" t="s">
        <v>2152</v>
      </c>
      <c r="E732" s="8">
        <v>1000.0</v>
      </c>
      <c r="F732" s="15">
        <v>13382.0</v>
      </c>
      <c r="G732" s="13">
        <f>F732*732</f>
        <v>9795624</v>
      </c>
      <c r="H732" s="18" t="s">
        <v>14</v>
      </c>
    </row>
    <row r="733" spans="1:8" outlineLevel="1">
      <c r="A733" s="18">
        <v>726</v>
      </c>
      <c r="B733" s="9" t="s">
        <v>2153</v>
      </c>
      <c r="C733" s="10" t="s">
        <v>2154</v>
      </c>
      <c r="D733" s="10" t="s">
        <v>2155</v>
      </c>
      <c r="E733" s="8">
        <v>1000.0</v>
      </c>
      <c r="F733" s="15">
        <v>2490.0</v>
      </c>
      <c r="G733" s="13">
        <f>F733*733</f>
        <v>1825170</v>
      </c>
      <c r="H733" s="18" t="s">
        <v>14</v>
      </c>
    </row>
    <row r="734" spans="1:8" outlineLevel="1">
      <c r="A734" s="18">
        <v>727</v>
      </c>
      <c r="B734" s="9" t="s">
        <v>2156</v>
      </c>
      <c r="C734" s="10" t="s">
        <v>2154</v>
      </c>
      <c r="D734" s="10" t="s">
        <v>2157</v>
      </c>
      <c r="E734" s="8">
        <v>1000.0</v>
      </c>
      <c r="F734" s="15">
        <v>1851.0</v>
      </c>
      <c r="G734" s="13">
        <f>F734*734</f>
        <v>1358634</v>
      </c>
      <c r="H734" s="18" t="s">
        <v>14</v>
      </c>
    </row>
    <row r="735" spans="1:8" outlineLevel="1">
      <c r="A735" s="18">
        <v>728</v>
      </c>
      <c r="B735" s="9" t="s">
        <v>2158</v>
      </c>
      <c r="C735" s="10" t="s">
        <v>2159</v>
      </c>
      <c r="D735" s="10" t="s">
        <v>2160</v>
      </c>
      <c r="E735" s="8">
        <v>1000.0</v>
      </c>
      <c r="F735" s="15">
        <v>4244.0</v>
      </c>
      <c r="G735" s="13">
        <f>F735*735</f>
        <v>3119340</v>
      </c>
      <c r="H735" s="18" t="s">
        <v>14</v>
      </c>
    </row>
    <row r="736" spans="1:8" outlineLevel="1">
      <c r="A736" s="18">
        <v>729</v>
      </c>
      <c r="B736" s="9" t="s">
        <v>2161</v>
      </c>
      <c r="C736" s="10" t="s">
        <v>2162</v>
      </c>
      <c r="D736" s="10" t="s">
        <v>2163</v>
      </c>
      <c r="E736" s="8">
        <v>1000.0</v>
      </c>
      <c r="F736" s="15">
        <v>1340.0</v>
      </c>
      <c r="G736" s="13">
        <f>F736*736</f>
        <v>986240</v>
      </c>
      <c r="H736" s="18" t="s">
        <v>14</v>
      </c>
    </row>
    <row r="737" spans="1:8" outlineLevel="1">
      <c r="A737" s="18">
        <v>730</v>
      </c>
      <c r="B737" s="9" t="s">
        <v>2164</v>
      </c>
      <c r="C737" s="10" t="s">
        <v>2165</v>
      </c>
      <c r="D737" s="10" t="s">
        <v>2166</v>
      </c>
      <c r="E737" s="8" t="s">
        <v>23</v>
      </c>
      <c r="F737" s="15">
        <v>12960.0</v>
      </c>
      <c r="G737" s="13">
        <f>F737*737</f>
        <v>9551520</v>
      </c>
      <c r="H737" s="18" t="s">
        <v>14</v>
      </c>
    </row>
    <row r="738" spans="1:8" outlineLevel="1">
      <c r="A738" s="18">
        <v>731</v>
      </c>
      <c r="B738" s="9" t="s">
        <v>2167</v>
      </c>
      <c r="C738" s="10" t="s">
        <v>2168</v>
      </c>
      <c r="D738" s="10" t="s">
        <v>2169</v>
      </c>
      <c r="E738" s="8" t="s">
        <v>23</v>
      </c>
      <c r="F738" s="15">
        <v>13440.0</v>
      </c>
      <c r="G738" s="13">
        <f>F738*738</f>
        <v>9918720</v>
      </c>
      <c r="H738" s="18" t="s">
        <v>14</v>
      </c>
    </row>
    <row r="739" spans="1:8" outlineLevel="1">
      <c r="A739" s="18">
        <v>732</v>
      </c>
      <c r="B739" s="9" t="s">
        <v>2170</v>
      </c>
      <c r="C739" s="10" t="s">
        <v>2171</v>
      </c>
      <c r="D739" s="10" t="s">
        <v>2172</v>
      </c>
      <c r="E739" s="8" t="s">
        <v>23</v>
      </c>
      <c r="F739" s="15">
        <v>0.0</v>
      </c>
      <c r="G739" s="13">
        <f>F739*739</f>
        <v>0</v>
      </c>
      <c r="H739" s="18" t="s">
        <v>14</v>
      </c>
    </row>
    <row r="740" spans="1:8" outlineLevel="1">
      <c r="A740" s="18">
        <v>733</v>
      </c>
      <c r="B740" s="9" t="s">
        <v>2173</v>
      </c>
      <c r="C740" s="10" t="s">
        <v>2174</v>
      </c>
      <c r="D740" s="10" t="s">
        <v>2175</v>
      </c>
      <c r="E740" s="8" t="s">
        <v>23</v>
      </c>
      <c r="F740" s="15">
        <v>13440.0</v>
      </c>
      <c r="G740" s="13">
        <f>F740*740</f>
        <v>9945600</v>
      </c>
      <c r="H740" s="18" t="s">
        <v>14</v>
      </c>
    </row>
    <row r="741" spans="1:8" outlineLevel="1">
      <c r="A741" s="18">
        <v>734</v>
      </c>
      <c r="B741" s="9" t="s">
        <v>2176</v>
      </c>
      <c r="C741" s="10" t="s">
        <v>2177</v>
      </c>
      <c r="D741" s="10" t="s">
        <v>2178</v>
      </c>
      <c r="E741" s="8" t="s">
        <v>23</v>
      </c>
      <c r="F741" s="15">
        <v>22944.0</v>
      </c>
      <c r="G741" s="13">
        <f>F741*741</f>
        <v>17001504</v>
      </c>
      <c r="H741" s="18" t="s">
        <v>14</v>
      </c>
    </row>
    <row r="742" spans="1:8" outlineLevel="1">
      <c r="A742" s="18">
        <v>735</v>
      </c>
      <c r="B742" s="9" t="s">
        <v>2179</v>
      </c>
      <c r="C742" s="10" t="s">
        <v>2180</v>
      </c>
      <c r="D742" s="10" t="s">
        <v>2181</v>
      </c>
      <c r="E742" s="8" t="s">
        <v>23</v>
      </c>
      <c r="F742" s="15">
        <v>30528.0</v>
      </c>
      <c r="G742" s="13">
        <f>F742*742</f>
        <v>22651776</v>
      </c>
      <c r="H742" s="18" t="s">
        <v>14</v>
      </c>
    </row>
    <row r="743" spans="1:8" outlineLevel="1">
      <c r="A743" s="18">
        <v>736</v>
      </c>
      <c r="B743" s="9" t="s">
        <v>2182</v>
      </c>
      <c r="C743" s="10" t="s">
        <v>2183</v>
      </c>
      <c r="D743" s="10" t="s">
        <v>2184</v>
      </c>
      <c r="E743" s="8" t="s">
        <v>23</v>
      </c>
      <c r="F743" s="15">
        <v>0.0</v>
      </c>
      <c r="G743" s="13">
        <f>F743*743</f>
        <v>0</v>
      </c>
      <c r="H743" s="18" t="s">
        <v>14</v>
      </c>
    </row>
    <row r="744" spans="1:8" outlineLevel="1">
      <c r="A744" s="18">
        <v>737</v>
      </c>
      <c r="B744" s="9" t="s">
        <v>2185</v>
      </c>
      <c r="C744" s="10" t="s">
        <v>2186</v>
      </c>
      <c r="D744" s="10" t="s">
        <v>2187</v>
      </c>
      <c r="E744" s="8">
        <v>1000.0</v>
      </c>
      <c r="F744" s="15">
        <v>410.0</v>
      </c>
      <c r="G744" s="13">
        <f>F744*744</f>
        <v>305040</v>
      </c>
      <c r="H744" s="18" t="s">
        <v>14</v>
      </c>
    </row>
    <row r="745" spans="1:8" outlineLevel="1">
      <c r="A745" s="18">
        <v>738</v>
      </c>
      <c r="B745" s="9" t="s">
        <v>2188</v>
      </c>
      <c r="C745" s="10" t="s">
        <v>2189</v>
      </c>
      <c r="D745" s="10" t="s">
        <v>2190</v>
      </c>
      <c r="E745" s="8">
        <v>1000.0</v>
      </c>
      <c r="F745" s="15">
        <v>450.0</v>
      </c>
      <c r="G745" s="13">
        <f>F745*745</f>
        <v>335250</v>
      </c>
      <c r="H745" s="18" t="s">
        <v>14</v>
      </c>
    </row>
    <row r="746" spans="1:8" outlineLevel="1">
      <c r="A746" s="18">
        <v>739</v>
      </c>
      <c r="B746" s="9" t="s">
        <v>2191</v>
      </c>
      <c r="C746" s="10" t="s">
        <v>2192</v>
      </c>
      <c r="D746" s="10" t="s">
        <v>2193</v>
      </c>
      <c r="E746" s="8" t="s">
        <v>23</v>
      </c>
      <c r="F746" s="15">
        <v>11478.0</v>
      </c>
      <c r="G746" s="13">
        <f>F746*746</f>
        <v>8562588</v>
      </c>
      <c r="H746" s="18" t="s">
        <v>14</v>
      </c>
    </row>
    <row r="747" spans="1:8" outlineLevel="1">
      <c r="A747" s="18">
        <v>740</v>
      </c>
      <c r="B747" s="9" t="s">
        <v>2194</v>
      </c>
      <c r="C747" s="10" t="s">
        <v>2195</v>
      </c>
      <c r="D747" s="10" t="s">
        <v>2196</v>
      </c>
      <c r="E747" s="8" t="s">
        <v>23</v>
      </c>
      <c r="F747" s="15">
        <v>5482.0</v>
      </c>
      <c r="G747" s="13">
        <f>F747*747</f>
        <v>4095054</v>
      </c>
      <c r="H747" s="18" t="s">
        <v>14</v>
      </c>
    </row>
    <row r="748" spans="1:8" outlineLevel="1">
      <c r="A748" s="18">
        <v>741</v>
      </c>
      <c r="B748" s="9" t="s">
        <v>2197</v>
      </c>
      <c r="C748" s="10" t="s">
        <v>2198</v>
      </c>
      <c r="D748" s="10" t="s">
        <v>2199</v>
      </c>
      <c r="E748" s="8" t="s">
        <v>23</v>
      </c>
      <c r="F748" s="15">
        <v>2059.0</v>
      </c>
      <c r="G748" s="13">
        <f>F748*748</f>
        <v>1540132</v>
      </c>
      <c r="H748" s="18" t="s">
        <v>14</v>
      </c>
    </row>
    <row r="749" spans="1:8" outlineLevel="1">
      <c r="A749" s="18">
        <v>742</v>
      </c>
      <c r="B749" s="9" t="s">
        <v>2200</v>
      </c>
      <c r="C749" s="10" t="s">
        <v>2201</v>
      </c>
      <c r="D749" s="10" t="s">
        <v>2202</v>
      </c>
      <c r="E749" s="8" t="s">
        <v>23</v>
      </c>
      <c r="F749" s="15">
        <v>1615.0</v>
      </c>
      <c r="G749" s="13">
        <f>F749*749</f>
        <v>1209635</v>
      </c>
      <c r="H749" s="18" t="s">
        <v>14</v>
      </c>
    </row>
    <row r="750" spans="1:8" outlineLevel="1">
      <c r="A750" s="18">
        <v>743</v>
      </c>
      <c r="B750" s="9" t="s">
        <v>2203</v>
      </c>
      <c r="C750" s="10" t="s">
        <v>2204</v>
      </c>
      <c r="D750" s="10" t="s">
        <v>2205</v>
      </c>
      <c r="E750" s="8" t="s">
        <v>23</v>
      </c>
      <c r="F750" s="15">
        <v>2702.0</v>
      </c>
      <c r="G750" s="13">
        <f>F750*750</f>
        <v>2026500</v>
      </c>
      <c r="H750" s="18" t="s">
        <v>14</v>
      </c>
    </row>
    <row r="751" spans="1:8" outlineLevel="1">
      <c r="A751" s="18">
        <v>744</v>
      </c>
      <c r="B751" s="9" t="s">
        <v>2206</v>
      </c>
      <c r="C751" s="10" t="s">
        <v>2207</v>
      </c>
      <c r="D751" s="10" t="s">
        <v>2208</v>
      </c>
      <c r="E751" s="8">
        <v>1000.0</v>
      </c>
      <c r="F751" s="15">
        <v>1200.0</v>
      </c>
      <c r="G751" s="13">
        <f>F751*751</f>
        <v>901200</v>
      </c>
      <c r="H751" s="18" t="s">
        <v>14</v>
      </c>
    </row>
    <row r="752" spans="1:8" outlineLevel="1">
      <c r="A752" s="18">
        <v>745</v>
      </c>
      <c r="B752" s="9" t="s">
        <v>2209</v>
      </c>
      <c r="C752" s="10" t="s">
        <v>2210</v>
      </c>
      <c r="D752" s="10" t="s">
        <v>2211</v>
      </c>
      <c r="E752" s="8" t="s">
        <v>23</v>
      </c>
      <c r="F752" s="15">
        <v>5030.0</v>
      </c>
      <c r="G752" s="13">
        <f>F752*752</f>
        <v>3782560</v>
      </c>
      <c r="H752" s="18" t="s">
        <v>14</v>
      </c>
    </row>
    <row r="753" spans="1:8" outlineLevel="1">
      <c r="A753" s="18">
        <v>746</v>
      </c>
      <c r="B753" s="9" t="s">
        <v>2212</v>
      </c>
      <c r="C753" s="10" t="s">
        <v>2213</v>
      </c>
      <c r="D753" s="10" t="s">
        <v>2214</v>
      </c>
      <c r="E753" s="8" t="s">
        <v>23</v>
      </c>
      <c r="F753" s="15">
        <v>13205.0</v>
      </c>
      <c r="G753" s="13">
        <f>F753*753</f>
        <v>9943365</v>
      </c>
      <c r="H753" s="18" t="s">
        <v>14</v>
      </c>
    </row>
    <row r="754" spans="1:8" outlineLevel="1">
      <c r="A754" s="18">
        <v>747</v>
      </c>
      <c r="B754" s="9" t="s">
        <v>2215</v>
      </c>
      <c r="C754" s="10" t="s">
        <v>2216</v>
      </c>
      <c r="D754" s="10" t="s">
        <v>2217</v>
      </c>
      <c r="E754" s="8" t="s">
        <v>23</v>
      </c>
      <c r="F754" s="15">
        <v>13822.0</v>
      </c>
      <c r="G754" s="13">
        <f>F754*754</f>
        <v>10421788</v>
      </c>
      <c r="H754" s="18" t="s">
        <v>14</v>
      </c>
    </row>
    <row r="755" spans="1:8" outlineLevel="1">
      <c r="A755" s="18">
        <v>748</v>
      </c>
      <c r="B755" s="9" t="s">
        <v>2218</v>
      </c>
      <c r="C755" s="10" t="s">
        <v>2219</v>
      </c>
      <c r="D755" s="10" t="s">
        <v>2220</v>
      </c>
      <c r="E755" s="8">
        <v>1000.0</v>
      </c>
      <c r="F755" s="15">
        <v>0.0</v>
      </c>
      <c r="G755" s="13">
        <f>F755*755</f>
        <v>0</v>
      </c>
      <c r="H755" s="18" t="s">
        <v>14</v>
      </c>
    </row>
    <row r="756" spans="1:8" outlineLevel="1">
      <c r="A756" s="18">
        <v>749</v>
      </c>
      <c r="B756" s="9" t="s">
        <v>2221</v>
      </c>
      <c r="C756" s="10" t="s">
        <v>2222</v>
      </c>
      <c r="D756" s="10" t="s">
        <v>2223</v>
      </c>
      <c r="E756" s="8">
        <v>1000.0</v>
      </c>
      <c r="F756" s="15">
        <v>645.0</v>
      </c>
      <c r="G756" s="13">
        <f>F756*756</f>
        <v>487620</v>
      </c>
      <c r="H756" s="18" t="s">
        <v>14</v>
      </c>
    </row>
    <row r="757" spans="1:8" outlineLevel="1">
      <c r="A757" s="18">
        <v>750</v>
      </c>
      <c r="B757" s="9" t="s">
        <v>2224</v>
      </c>
      <c r="C757" s="10" t="s">
        <v>2225</v>
      </c>
      <c r="D757" s="10" t="s">
        <v>2226</v>
      </c>
      <c r="E757" s="8">
        <v>1000.0</v>
      </c>
      <c r="F757" s="15">
        <v>924.0</v>
      </c>
      <c r="G757" s="13">
        <f>F757*757</f>
        <v>699468</v>
      </c>
      <c r="H757" s="18" t="s">
        <v>14</v>
      </c>
    </row>
    <row r="758" spans="1:8" outlineLevel="1">
      <c r="A758" s="18">
        <v>751</v>
      </c>
      <c r="B758" s="9" t="s">
        <v>2227</v>
      </c>
      <c r="C758" s="10" t="s">
        <v>2228</v>
      </c>
      <c r="D758" s="10" t="s">
        <v>2229</v>
      </c>
      <c r="E758" s="8">
        <v>1000.0</v>
      </c>
      <c r="F758" s="15">
        <v>2539.0</v>
      </c>
      <c r="G758" s="13">
        <f>F758*758</f>
        <v>1924562</v>
      </c>
      <c r="H758" s="18" t="s">
        <v>14</v>
      </c>
    </row>
    <row r="759" spans="1:8" outlineLevel="1">
      <c r="A759" s="18">
        <v>752</v>
      </c>
      <c r="B759" s="9" t="s">
        <v>2230</v>
      </c>
      <c r="C759" s="10" t="s">
        <v>2231</v>
      </c>
      <c r="D759" s="10" t="s">
        <v>2232</v>
      </c>
      <c r="E759" s="8">
        <v>1000.0</v>
      </c>
      <c r="F759" s="15">
        <v>26487.0</v>
      </c>
      <c r="G759" s="13">
        <f>F759*759</f>
        <v>20103633</v>
      </c>
      <c r="H759" s="18" t="s">
        <v>14</v>
      </c>
    </row>
    <row r="760" spans="1:8" outlineLevel="1">
      <c r="A760" s="18">
        <v>753</v>
      </c>
      <c r="B760" s="9" t="s">
        <v>2233</v>
      </c>
      <c r="C760" s="10" t="s">
        <v>2234</v>
      </c>
      <c r="D760" s="10" t="s">
        <v>2235</v>
      </c>
      <c r="E760" s="8">
        <v>1000.0</v>
      </c>
      <c r="F760" s="15">
        <v>4768.0</v>
      </c>
      <c r="G760" s="13">
        <f>F760*760</f>
        <v>3623680</v>
      </c>
      <c r="H760" s="18" t="s">
        <v>14</v>
      </c>
    </row>
    <row r="761" spans="1:8" outlineLevel="1">
      <c r="A761" s="18">
        <v>754</v>
      </c>
      <c r="B761" s="9" t="s">
        <v>2236</v>
      </c>
      <c r="C761" s="10" t="s">
        <v>2237</v>
      </c>
      <c r="D761" s="10" t="s">
        <v>2238</v>
      </c>
      <c r="E761" s="8">
        <v>1000.0</v>
      </c>
      <c r="F761" s="15">
        <v>4041.0</v>
      </c>
      <c r="G761" s="13">
        <f>F761*761</f>
        <v>3075201</v>
      </c>
      <c r="H761" s="18" t="s">
        <v>14</v>
      </c>
    </row>
    <row r="762" spans="1:8" outlineLevel="1">
      <c r="A762" s="18">
        <v>755</v>
      </c>
      <c r="B762" s="9" t="s">
        <v>2239</v>
      </c>
      <c r="C762" s="10" t="s">
        <v>2237</v>
      </c>
      <c r="D762" s="10" t="s">
        <v>2240</v>
      </c>
      <c r="E762" s="8">
        <v>1000.0</v>
      </c>
      <c r="F762" s="15">
        <v>6663.0</v>
      </c>
      <c r="G762" s="13">
        <f>F762*762</f>
        <v>5077206</v>
      </c>
      <c r="H762" s="18" t="s">
        <v>14</v>
      </c>
    </row>
    <row r="763" spans="1:8" outlineLevel="1">
      <c r="A763" s="18">
        <v>756</v>
      </c>
      <c r="B763" s="9" t="s">
        <v>2241</v>
      </c>
      <c r="C763" s="10" t="s">
        <v>2242</v>
      </c>
      <c r="D763" s="10" t="s">
        <v>2243</v>
      </c>
      <c r="E763" s="8">
        <v>1000.0</v>
      </c>
      <c r="F763" s="15">
        <v>3983.0</v>
      </c>
      <c r="G763" s="13">
        <f>F763*763</f>
        <v>3039029</v>
      </c>
      <c r="H763" s="18" t="s">
        <v>14</v>
      </c>
    </row>
    <row r="764" spans="1:8" outlineLevel="1">
      <c r="A764" s="18">
        <v>757</v>
      </c>
      <c r="B764" s="9" t="s">
        <v>2244</v>
      </c>
      <c r="C764" s="10" t="s">
        <v>2245</v>
      </c>
      <c r="D764" s="10" t="s">
        <v>2246</v>
      </c>
      <c r="E764" s="8">
        <v>1000.0</v>
      </c>
      <c r="F764" s="15">
        <v>9341.0</v>
      </c>
      <c r="G764" s="13">
        <f>F764*764</f>
        <v>7136524</v>
      </c>
      <c r="H764" s="18" t="s">
        <v>14</v>
      </c>
    </row>
    <row r="765" spans="1:8" outlineLevel="1">
      <c r="A765" s="18">
        <v>758</v>
      </c>
      <c r="B765" s="9" t="s">
        <v>2247</v>
      </c>
      <c r="C765" s="10" t="s">
        <v>2245</v>
      </c>
      <c r="D765" s="10" t="s">
        <v>2248</v>
      </c>
      <c r="E765" s="8">
        <v>1000.0</v>
      </c>
      <c r="F765" s="15">
        <v>4225.0</v>
      </c>
      <c r="G765" s="13">
        <f>F765*765</f>
        <v>3232125</v>
      </c>
      <c r="H765" s="18" t="s">
        <v>14</v>
      </c>
    </row>
    <row r="766" spans="1:8" outlineLevel="1">
      <c r="A766" s="18">
        <v>759</v>
      </c>
      <c r="B766" s="9" t="s">
        <v>2249</v>
      </c>
      <c r="C766" s="10" t="s">
        <v>2250</v>
      </c>
      <c r="D766" s="10" t="s">
        <v>2251</v>
      </c>
      <c r="E766" s="8">
        <v>1000.0</v>
      </c>
      <c r="F766" s="15">
        <v>4225.0</v>
      </c>
      <c r="G766" s="13">
        <f>F766*766</f>
        <v>3236350</v>
      </c>
      <c r="H766" s="18" t="s">
        <v>14</v>
      </c>
    </row>
    <row r="767" spans="1:8" outlineLevel="1">
      <c r="A767" s="18">
        <v>760</v>
      </c>
      <c r="B767" s="9" t="s">
        <v>2252</v>
      </c>
      <c r="C767" s="10" t="s">
        <v>2253</v>
      </c>
      <c r="D767" s="10" t="s">
        <v>2254</v>
      </c>
      <c r="E767" s="8">
        <v>1000.0</v>
      </c>
      <c r="F767" s="15">
        <v>6650.0</v>
      </c>
      <c r="G767" s="13">
        <f>F767*767</f>
        <v>5100550</v>
      </c>
      <c r="H767" s="18" t="s">
        <v>14</v>
      </c>
    </row>
    <row r="768" spans="1:8" outlineLevel="1">
      <c r="A768" s="18">
        <v>761</v>
      </c>
      <c r="B768" s="9" t="s">
        <v>2255</v>
      </c>
      <c r="C768" s="10" t="s">
        <v>2256</v>
      </c>
      <c r="D768" s="10" t="s">
        <v>2257</v>
      </c>
      <c r="E768" s="8">
        <v>1000.0</v>
      </c>
      <c r="F768" s="15">
        <v>5957.0</v>
      </c>
      <c r="G768" s="13">
        <f>F768*768</f>
        <v>4574976</v>
      </c>
      <c r="H768" s="18" t="s">
        <v>14</v>
      </c>
    </row>
    <row r="769" spans="1:8" outlineLevel="1">
      <c r="A769" s="18">
        <v>762</v>
      </c>
      <c r="B769" s="9" t="s">
        <v>2258</v>
      </c>
      <c r="C769" s="10" t="s">
        <v>2259</v>
      </c>
      <c r="D769" s="10" t="s">
        <v>2260</v>
      </c>
      <c r="E769" s="8">
        <v>1000.0</v>
      </c>
      <c r="F769" s="15">
        <v>7129.0</v>
      </c>
      <c r="G769" s="13">
        <f>F769*769</f>
        <v>5482201</v>
      </c>
      <c r="H769" s="18" t="s">
        <v>14</v>
      </c>
    </row>
    <row r="770" spans="1:8" outlineLevel="1">
      <c r="A770" s="18">
        <v>763</v>
      </c>
      <c r="B770" s="9" t="s">
        <v>2261</v>
      </c>
      <c r="C770" s="10" t="s">
        <v>2262</v>
      </c>
      <c r="D770" s="10" t="s">
        <v>2263</v>
      </c>
      <c r="E770" s="8">
        <v>1000.0</v>
      </c>
      <c r="F770" s="15">
        <v>6246.0</v>
      </c>
      <c r="G770" s="13">
        <f>F770*770</f>
        <v>4809420</v>
      </c>
      <c r="H770" s="18" t="s">
        <v>14</v>
      </c>
    </row>
    <row r="771" spans="1:8" outlineLevel="1">
      <c r="A771" s="18">
        <v>764</v>
      </c>
      <c r="B771" s="9" t="s">
        <v>2264</v>
      </c>
      <c r="C771" s="10" t="s">
        <v>2265</v>
      </c>
      <c r="D771" s="10" t="s">
        <v>2266</v>
      </c>
      <c r="E771" s="8">
        <v>1000.0</v>
      </c>
      <c r="F771" s="15">
        <v>6246.0</v>
      </c>
      <c r="G771" s="13">
        <f>F771*771</f>
        <v>4815666</v>
      </c>
      <c r="H771" s="18" t="s">
        <v>14</v>
      </c>
    </row>
    <row r="772" spans="1:8" outlineLevel="1">
      <c r="A772" s="18">
        <v>765</v>
      </c>
      <c r="B772" s="9" t="s">
        <v>2267</v>
      </c>
      <c r="C772" s="10" t="s">
        <v>2268</v>
      </c>
      <c r="D772" s="10" t="s">
        <v>2269</v>
      </c>
      <c r="E772" s="8">
        <v>1000.0</v>
      </c>
      <c r="F772" s="15">
        <v>8033.0</v>
      </c>
      <c r="G772" s="13">
        <f>F772*772</f>
        <v>6201476</v>
      </c>
      <c r="H772" s="18" t="s">
        <v>14</v>
      </c>
    </row>
    <row r="773" spans="1:8" outlineLevel="1">
      <c r="A773" s="18">
        <v>766</v>
      </c>
      <c r="B773" s="9" t="s">
        <v>2270</v>
      </c>
      <c r="C773" s="10" t="s">
        <v>2271</v>
      </c>
      <c r="D773" s="10" t="s">
        <v>2272</v>
      </c>
      <c r="E773" s="8">
        <v>1000.0</v>
      </c>
      <c r="F773" s="15">
        <v>9514.0</v>
      </c>
      <c r="G773" s="13">
        <f>F773*773</f>
        <v>7354322</v>
      </c>
      <c r="H773" s="18" t="s">
        <v>14</v>
      </c>
    </row>
    <row r="774" spans="1:8" outlineLevel="1">
      <c r="A774" s="18">
        <v>767</v>
      </c>
      <c r="B774" s="9" t="s">
        <v>2273</v>
      </c>
      <c r="C774" s="10" t="s">
        <v>2274</v>
      </c>
      <c r="D774" s="10" t="s">
        <v>2275</v>
      </c>
      <c r="E774" s="8" t="s">
        <v>23</v>
      </c>
      <c r="F774" s="15">
        <v>576.0</v>
      </c>
      <c r="G774" s="13">
        <f>F774*774</f>
        <v>445824</v>
      </c>
      <c r="H774" s="18" t="s">
        <v>14</v>
      </c>
    </row>
    <row r="775" spans="1:8" outlineLevel="1">
      <c r="A775" s="18">
        <v>768</v>
      </c>
      <c r="B775" s="9" t="s">
        <v>2276</v>
      </c>
      <c r="C775" s="10" t="s">
        <v>2277</v>
      </c>
      <c r="D775" s="10" t="s">
        <v>2278</v>
      </c>
      <c r="E775" s="8">
        <v>1000.0</v>
      </c>
      <c r="F775" s="15">
        <v>442.0</v>
      </c>
      <c r="G775" s="13">
        <f>F775*775</f>
        <v>342550</v>
      </c>
      <c r="H775" s="18" t="s">
        <v>14</v>
      </c>
    </row>
    <row r="776" spans="1:8" outlineLevel="1">
      <c r="A776" s="18">
        <v>769</v>
      </c>
      <c r="B776" s="9" t="s">
        <v>2279</v>
      </c>
      <c r="C776" s="10" t="s">
        <v>2280</v>
      </c>
      <c r="D776" s="10" t="s">
        <v>2281</v>
      </c>
      <c r="E776" s="8">
        <v>1000.0</v>
      </c>
      <c r="F776" s="15">
        <v>450.0</v>
      </c>
      <c r="G776" s="13">
        <f>F776*776</f>
        <v>349200</v>
      </c>
      <c r="H776" s="18" t="s">
        <v>14</v>
      </c>
    </row>
    <row r="777" spans="1:8" outlineLevel="1">
      <c r="A777" s="18">
        <v>770</v>
      </c>
      <c r="B777" s="9" t="s">
        <v>2282</v>
      </c>
      <c r="C777" s="10" t="s">
        <v>2283</v>
      </c>
      <c r="D777" s="10" t="s">
        <v>2284</v>
      </c>
      <c r="E777" s="8">
        <v>1000.0</v>
      </c>
      <c r="F777" s="15">
        <v>8557.0</v>
      </c>
      <c r="G777" s="13">
        <f>F777*777</f>
        <v>6648789</v>
      </c>
      <c r="H777" s="18" t="s">
        <v>14</v>
      </c>
    </row>
    <row r="778" spans="1:8" outlineLevel="1">
      <c r="A778" s="18">
        <v>771</v>
      </c>
      <c r="B778" s="9" t="s">
        <v>2285</v>
      </c>
      <c r="C778" s="10" t="s">
        <v>2286</v>
      </c>
      <c r="D778" s="10" t="s">
        <v>2287</v>
      </c>
      <c r="E778" s="8">
        <v>1000.0</v>
      </c>
      <c r="F778" s="15">
        <v>5334.0</v>
      </c>
      <c r="G778" s="13">
        <f>F778*778</f>
        <v>4149852</v>
      </c>
      <c r="H778" s="18" t="s">
        <v>14</v>
      </c>
    </row>
    <row r="779" spans="1:8" outlineLevel="1">
      <c r="A779" s="18">
        <v>772</v>
      </c>
      <c r="B779" s="9" t="s">
        <v>2288</v>
      </c>
      <c r="C779" s="10" t="s">
        <v>2289</v>
      </c>
      <c r="D779" s="10" t="s">
        <v>2290</v>
      </c>
      <c r="E779" s="8" t="s">
        <v>23</v>
      </c>
      <c r="F779" s="15">
        <v>2852.0</v>
      </c>
      <c r="G779" s="13">
        <f>F779*779</f>
        <v>2221708</v>
      </c>
      <c r="H779" s="18" t="s">
        <v>14</v>
      </c>
    </row>
    <row r="780" spans="1:8" outlineLevel="1">
      <c r="A780" s="18">
        <v>773</v>
      </c>
      <c r="B780" s="9" t="s">
        <v>2291</v>
      </c>
      <c r="C780" s="10" t="s">
        <v>2292</v>
      </c>
      <c r="D780" s="10" t="s">
        <v>2293</v>
      </c>
      <c r="E780" s="8" t="s">
        <v>23</v>
      </c>
      <c r="F780" s="15">
        <v>3192.0</v>
      </c>
      <c r="G780" s="13">
        <f>F780*780</f>
        <v>2489760</v>
      </c>
      <c r="H780" s="18" t="s">
        <v>14</v>
      </c>
    </row>
    <row r="781" spans="1:8" outlineLevel="1">
      <c r="A781" s="18">
        <v>774</v>
      </c>
      <c r="B781" s="9" t="s">
        <v>2294</v>
      </c>
      <c r="C781" s="10" t="s">
        <v>2295</v>
      </c>
      <c r="D781" s="10" t="s">
        <v>2296</v>
      </c>
      <c r="E781" s="8" t="s">
        <v>23</v>
      </c>
      <c r="F781" s="15">
        <v>1048.0</v>
      </c>
      <c r="G781" s="13">
        <f>F781*781</f>
        <v>818488</v>
      </c>
      <c r="H781" s="18" t="s">
        <v>14</v>
      </c>
    </row>
    <row r="782" spans="1:8" outlineLevel="1">
      <c r="A782" s="18">
        <v>775</v>
      </c>
      <c r="B782" s="9" t="s">
        <v>2297</v>
      </c>
      <c r="C782" s="10" t="s">
        <v>2298</v>
      </c>
      <c r="D782" s="10" t="s">
        <v>2299</v>
      </c>
      <c r="E782" s="8" t="s">
        <v>23</v>
      </c>
      <c r="F782" s="15">
        <v>672.0</v>
      </c>
      <c r="G782" s="13">
        <f>F782*782</f>
        <v>525504</v>
      </c>
      <c r="H782" s="18" t="s">
        <v>14</v>
      </c>
    </row>
    <row r="783" spans="1:8" outlineLevel="1">
      <c r="A783" s="18">
        <v>776</v>
      </c>
      <c r="B783" s="9" t="s">
        <v>2300</v>
      </c>
      <c r="C783" s="10" t="s">
        <v>2301</v>
      </c>
      <c r="D783" s="10" t="s">
        <v>2302</v>
      </c>
      <c r="E783" s="8" t="s">
        <v>23</v>
      </c>
      <c r="F783" s="15">
        <v>672.0</v>
      </c>
      <c r="G783" s="13">
        <f>F783*783</f>
        <v>526176</v>
      </c>
      <c r="H783" s="18" t="s">
        <v>14</v>
      </c>
    </row>
    <row r="784" spans="1:8" outlineLevel="1">
      <c r="A784" s="18">
        <v>777</v>
      </c>
      <c r="B784" s="9" t="s">
        <v>2303</v>
      </c>
      <c r="C784" s="10" t="s">
        <v>2304</v>
      </c>
      <c r="D784" s="10" t="s">
        <v>2305</v>
      </c>
      <c r="E784" s="8" t="s">
        <v>23</v>
      </c>
      <c r="F784" s="15">
        <v>0.0</v>
      </c>
      <c r="G784" s="13">
        <f>F784*784</f>
        <v>0</v>
      </c>
      <c r="H784" s="18" t="s">
        <v>14</v>
      </c>
    </row>
    <row r="785" spans="1:8" outlineLevel="1">
      <c r="A785" s="18">
        <v>778</v>
      </c>
      <c r="B785" s="9" t="s">
        <v>2306</v>
      </c>
      <c r="C785" s="10" t="s">
        <v>2307</v>
      </c>
      <c r="D785" s="10" t="s">
        <v>2308</v>
      </c>
      <c r="E785" s="8" t="s">
        <v>23</v>
      </c>
      <c r="F785" s="15">
        <v>1234.0</v>
      </c>
      <c r="G785" s="13">
        <f>F785*785</f>
        <v>968690</v>
      </c>
      <c r="H785" s="18" t="s">
        <v>14</v>
      </c>
    </row>
    <row r="786" spans="1:8" outlineLevel="1">
      <c r="A786" s="18">
        <v>779</v>
      </c>
      <c r="B786" s="9" t="s">
        <v>2309</v>
      </c>
      <c r="C786" s="10" t="s">
        <v>2310</v>
      </c>
      <c r="D786" s="10" t="s">
        <v>2311</v>
      </c>
      <c r="E786" s="8" t="s">
        <v>23</v>
      </c>
      <c r="F786" s="15">
        <v>491.0</v>
      </c>
      <c r="G786" s="13">
        <f>F786*786</f>
        <v>385926</v>
      </c>
      <c r="H786" s="18" t="s">
        <v>14</v>
      </c>
    </row>
    <row r="787" spans="1:8" outlineLevel="1">
      <c r="A787" s="18">
        <v>780</v>
      </c>
      <c r="B787" s="9" t="s">
        <v>2312</v>
      </c>
      <c r="C787" s="10" t="s">
        <v>2313</v>
      </c>
      <c r="D787" s="10" t="s">
        <v>2314</v>
      </c>
      <c r="E787" s="8" t="s">
        <v>23</v>
      </c>
      <c r="F787" s="15">
        <v>773.0</v>
      </c>
      <c r="G787" s="13">
        <f>F787*787</f>
        <v>608351</v>
      </c>
      <c r="H787" s="18" t="s">
        <v>14</v>
      </c>
    </row>
    <row r="788" spans="1:8" outlineLevel="1">
      <c r="A788" s="18">
        <v>781</v>
      </c>
      <c r="B788" s="9" t="s">
        <v>2315</v>
      </c>
      <c r="C788" s="10" t="s">
        <v>2316</v>
      </c>
      <c r="D788" s="10" t="s">
        <v>2317</v>
      </c>
      <c r="E788" s="8" t="s">
        <v>23</v>
      </c>
      <c r="F788" s="15">
        <v>335.0</v>
      </c>
      <c r="G788" s="13">
        <f>F788*788</f>
        <v>263980</v>
      </c>
      <c r="H788" s="18" t="s">
        <v>14</v>
      </c>
    </row>
    <row r="789" spans="1:8" outlineLevel="1">
      <c r="A789" s="18">
        <v>782</v>
      </c>
      <c r="B789" s="9" t="s">
        <v>2318</v>
      </c>
      <c r="C789" s="10" t="s">
        <v>2319</v>
      </c>
      <c r="D789" s="10" t="s">
        <v>2320</v>
      </c>
      <c r="E789" s="8" t="s">
        <v>23</v>
      </c>
      <c r="F789" s="15">
        <v>694.0</v>
      </c>
      <c r="G789" s="13">
        <f>F789*789</f>
        <v>547566</v>
      </c>
      <c r="H789" s="18" t="s">
        <v>14</v>
      </c>
    </row>
    <row r="790" spans="1:8" outlineLevel="1">
      <c r="A790" s="18">
        <v>783</v>
      </c>
      <c r="B790" s="9" t="s">
        <v>2321</v>
      </c>
      <c r="C790" s="10" t="s">
        <v>2322</v>
      </c>
      <c r="D790" s="10" t="s">
        <v>2323</v>
      </c>
      <c r="E790" s="8" t="s">
        <v>23</v>
      </c>
      <c r="F790" s="15">
        <v>27081.0</v>
      </c>
      <c r="G790" s="13">
        <f>F790*790</f>
        <v>21393990</v>
      </c>
      <c r="H790" s="18" t="s">
        <v>14</v>
      </c>
    </row>
    <row r="791" spans="1:8" outlineLevel="1">
      <c r="A791" s="18">
        <v>784</v>
      </c>
      <c r="B791" s="9" t="s">
        <v>2324</v>
      </c>
      <c r="C791" s="10" t="s">
        <v>2325</v>
      </c>
      <c r="D791" s="10" t="s">
        <v>2326</v>
      </c>
      <c r="E791" s="8" t="s">
        <v>23</v>
      </c>
      <c r="F791" s="15">
        <v>2246.0</v>
      </c>
      <c r="G791" s="13">
        <f>F791*791</f>
        <v>1776586</v>
      </c>
      <c r="H791" s="18" t="s">
        <v>14</v>
      </c>
    </row>
    <row r="792" spans="1:8" outlineLevel="1">
      <c r="A792" s="18">
        <v>785</v>
      </c>
      <c r="B792" s="9" t="s">
        <v>2327</v>
      </c>
      <c r="C792" s="10" t="s">
        <v>2328</v>
      </c>
      <c r="D792" s="10" t="s">
        <v>2329</v>
      </c>
      <c r="E792" s="8" t="s">
        <v>23</v>
      </c>
      <c r="F792" s="15">
        <v>3052.0</v>
      </c>
      <c r="G792" s="13">
        <f>F792*792</f>
        <v>2417184</v>
      </c>
      <c r="H792" s="18" t="s">
        <v>14</v>
      </c>
    </row>
    <row r="793" spans="1:8" outlineLevel="1">
      <c r="A793" s="18">
        <v>786</v>
      </c>
      <c r="B793" s="9" t="s">
        <v>2330</v>
      </c>
      <c r="C793" s="10" t="s">
        <v>2331</v>
      </c>
      <c r="D793" s="10" t="s">
        <v>2332</v>
      </c>
      <c r="E793" s="8" t="s">
        <v>23</v>
      </c>
      <c r="F793" s="15">
        <v>0.0</v>
      </c>
      <c r="G793" s="13">
        <f>F793*793</f>
        <v>0</v>
      </c>
      <c r="H793" s="18" t="s">
        <v>14</v>
      </c>
    </row>
    <row r="794" spans="1:8" outlineLevel="1">
      <c r="A794" s="18">
        <v>787</v>
      </c>
      <c r="B794" s="9" t="s">
        <v>2333</v>
      </c>
      <c r="C794" s="10" t="s">
        <v>2334</v>
      </c>
      <c r="D794" s="10" t="s">
        <v>2335</v>
      </c>
      <c r="E794" s="8" t="s">
        <v>23</v>
      </c>
      <c r="F794" s="15">
        <v>3105.0</v>
      </c>
      <c r="G794" s="13">
        <f>F794*794</f>
        <v>2465370</v>
      </c>
      <c r="H794" s="18" t="s">
        <v>14</v>
      </c>
    </row>
    <row r="795" spans="1:8" outlineLevel="1">
      <c r="A795" s="18">
        <v>788</v>
      </c>
      <c r="B795" s="9" t="s">
        <v>2336</v>
      </c>
      <c r="C795" s="10" t="s">
        <v>2337</v>
      </c>
      <c r="D795" s="10" t="s">
        <v>2338</v>
      </c>
      <c r="E795" s="8" t="s">
        <v>23</v>
      </c>
      <c r="F795" s="15">
        <v>49980.0</v>
      </c>
      <c r="G795" s="13">
        <f>F795*795</f>
        <v>39734100</v>
      </c>
      <c r="H795" s="18" t="s">
        <v>14</v>
      </c>
    </row>
    <row r="796" spans="1:8" outlineLevel="1">
      <c r="A796" s="18">
        <v>789</v>
      </c>
      <c r="B796" s="9" t="s">
        <v>2339</v>
      </c>
      <c r="C796" s="10" t="s">
        <v>2340</v>
      </c>
      <c r="D796" s="10" t="s">
        <v>2341</v>
      </c>
      <c r="E796" s="8" t="s">
        <v>23</v>
      </c>
      <c r="F796" s="15">
        <v>302.0</v>
      </c>
      <c r="G796" s="13">
        <f>F796*796</f>
        <v>240392</v>
      </c>
      <c r="H796" s="18" t="s">
        <v>14</v>
      </c>
    </row>
    <row r="797" spans="1:8" outlineLevel="1">
      <c r="A797" s="18">
        <v>790</v>
      </c>
      <c r="B797" s="9" t="s">
        <v>2342</v>
      </c>
      <c r="C797" s="10" t="s">
        <v>2343</v>
      </c>
      <c r="D797" s="10" t="s">
        <v>2344</v>
      </c>
      <c r="E797" s="8" t="s">
        <v>23</v>
      </c>
      <c r="F797" s="15">
        <v>302.0</v>
      </c>
      <c r="G797" s="13">
        <f>F797*797</f>
        <v>240694</v>
      </c>
      <c r="H797" s="18" t="s">
        <v>14</v>
      </c>
    </row>
    <row r="798" spans="1:8" outlineLevel="1">
      <c r="A798" s="18">
        <v>791</v>
      </c>
      <c r="B798" s="9" t="s">
        <v>2345</v>
      </c>
      <c r="C798" s="10" t="s">
        <v>2346</v>
      </c>
      <c r="D798" s="10" t="s">
        <v>2347</v>
      </c>
      <c r="E798" s="8" t="s">
        <v>23</v>
      </c>
      <c r="F798" s="15">
        <v>302.0</v>
      </c>
      <c r="G798" s="13">
        <f>F798*798</f>
        <v>240996</v>
      </c>
      <c r="H798" s="18" t="s">
        <v>14</v>
      </c>
    </row>
    <row r="799" spans="1:8" outlineLevel="1">
      <c r="A799" s="18">
        <v>792</v>
      </c>
      <c r="B799" s="9" t="s">
        <v>2348</v>
      </c>
      <c r="C799" s="10" t="s">
        <v>2349</v>
      </c>
      <c r="D799" s="10" t="s">
        <v>2350</v>
      </c>
      <c r="E799" s="8" t="s">
        <v>23</v>
      </c>
      <c r="F799" s="15">
        <v>302.0</v>
      </c>
      <c r="G799" s="13">
        <f>F799*799</f>
        <v>241298</v>
      </c>
      <c r="H799" s="18" t="s">
        <v>14</v>
      </c>
    </row>
    <row r="800" spans="1:8" outlineLevel="1">
      <c r="A800" s="18">
        <v>793</v>
      </c>
      <c r="B800" s="9" t="s">
        <v>2351</v>
      </c>
      <c r="C800" s="10" t="s">
        <v>2352</v>
      </c>
      <c r="D800" s="10" t="s">
        <v>2353</v>
      </c>
      <c r="E800" s="8" t="s">
        <v>23</v>
      </c>
      <c r="F800" s="15">
        <v>302.0</v>
      </c>
      <c r="G800" s="13">
        <f>F800*800</f>
        <v>241600</v>
      </c>
      <c r="H800" s="18" t="s">
        <v>14</v>
      </c>
    </row>
    <row r="801" spans="1:8" outlineLevel="1">
      <c r="A801" s="18">
        <v>794</v>
      </c>
      <c r="B801" s="9" t="s">
        <v>2354</v>
      </c>
      <c r="C801" s="10" t="s">
        <v>2355</v>
      </c>
      <c r="D801" s="10" t="s">
        <v>2356</v>
      </c>
      <c r="E801" s="8" t="s">
        <v>23</v>
      </c>
      <c r="F801" s="15">
        <v>718.0</v>
      </c>
      <c r="G801" s="13">
        <f>F801*801</f>
        <v>575118</v>
      </c>
      <c r="H801" s="18" t="s">
        <v>14</v>
      </c>
    </row>
    <row r="802" spans="1:8" outlineLevel="1">
      <c r="A802" s="18">
        <v>795</v>
      </c>
      <c r="B802" s="9" t="s">
        <v>2357</v>
      </c>
      <c r="C802" s="10" t="s">
        <v>2358</v>
      </c>
      <c r="D802" s="10" t="s">
        <v>2359</v>
      </c>
      <c r="E802" s="8" t="s">
        <v>23</v>
      </c>
      <c r="F802" s="15">
        <v>2823.0</v>
      </c>
      <c r="G802" s="13">
        <f>F802*802</f>
        <v>2264046</v>
      </c>
      <c r="H802" s="18" t="s">
        <v>14</v>
      </c>
    </row>
    <row r="803" spans="1:8" outlineLevel="1">
      <c r="A803" s="18">
        <v>796</v>
      </c>
      <c r="B803" s="9" t="s">
        <v>2360</v>
      </c>
      <c r="C803" s="10" t="s">
        <v>2361</v>
      </c>
      <c r="D803" s="10" t="s">
        <v>2362</v>
      </c>
      <c r="E803" s="8" t="s">
        <v>23</v>
      </c>
      <c r="F803" s="15">
        <v>2883.0</v>
      </c>
      <c r="G803" s="13">
        <f>F803*803</f>
        <v>2315049</v>
      </c>
      <c r="H803" s="18" t="s">
        <v>14</v>
      </c>
    </row>
    <row r="804" spans="1:8" outlineLevel="1">
      <c r="A804" s="18">
        <v>797</v>
      </c>
      <c r="B804" s="9" t="s">
        <v>2363</v>
      </c>
      <c r="C804" s="10" t="s">
        <v>2364</v>
      </c>
      <c r="D804" s="10" t="s">
        <v>2365</v>
      </c>
      <c r="E804" s="8" t="s">
        <v>23</v>
      </c>
      <c r="F804" s="15">
        <v>7869.0</v>
      </c>
      <c r="G804" s="13">
        <f>F804*804</f>
        <v>6326676</v>
      </c>
      <c r="H804" s="18" t="s">
        <v>14</v>
      </c>
    </row>
    <row r="805" spans="1:8">
      <c r="F805" s="7" t="s">
        <v>2366</v>
      </c>
      <c r="G805" s="20">
        <f>SUM(G6:G804)</f>
        <v>5001273769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7:B803"/>
  <mergeCells>
    <mergeCell ref="B1:F1"/>
    <mergeCell ref="A6:H6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28" r:id="rId_hyperlink_322"/>
    <hyperlink ref="D329" r:id="rId_hyperlink_323"/>
    <hyperlink ref="D330" r:id="rId_hyperlink_324"/>
    <hyperlink ref="D331" r:id="rId_hyperlink_325"/>
    <hyperlink ref="D332" r:id="rId_hyperlink_326"/>
    <hyperlink ref="D333" r:id="rId_hyperlink_327"/>
    <hyperlink ref="D334" r:id="rId_hyperlink_328"/>
    <hyperlink ref="D335" r:id="rId_hyperlink_329"/>
    <hyperlink ref="D336" r:id="rId_hyperlink_330"/>
    <hyperlink ref="D337" r:id="rId_hyperlink_331"/>
    <hyperlink ref="D338" r:id="rId_hyperlink_332"/>
    <hyperlink ref="D339" r:id="rId_hyperlink_333"/>
    <hyperlink ref="D340" r:id="rId_hyperlink_334"/>
    <hyperlink ref="D341" r:id="rId_hyperlink_335"/>
    <hyperlink ref="D342" r:id="rId_hyperlink_336"/>
    <hyperlink ref="D343" r:id="rId_hyperlink_337"/>
    <hyperlink ref="D344" r:id="rId_hyperlink_338"/>
    <hyperlink ref="D345" r:id="rId_hyperlink_339"/>
    <hyperlink ref="D346" r:id="rId_hyperlink_340"/>
    <hyperlink ref="D347" r:id="rId_hyperlink_341"/>
    <hyperlink ref="D348" r:id="rId_hyperlink_342"/>
    <hyperlink ref="D349" r:id="rId_hyperlink_343"/>
    <hyperlink ref="D350" r:id="rId_hyperlink_344"/>
    <hyperlink ref="D351" r:id="rId_hyperlink_345"/>
    <hyperlink ref="D352" r:id="rId_hyperlink_346"/>
    <hyperlink ref="D353" r:id="rId_hyperlink_347"/>
    <hyperlink ref="D354" r:id="rId_hyperlink_348"/>
    <hyperlink ref="D355" r:id="rId_hyperlink_349"/>
    <hyperlink ref="D356" r:id="rId_hyperlink_350"/>
    <hyperlink ref="D357" r:id="rId_hyperlink_351"/>
    <hyperlink ref="D358" r:id="rId_hyperlink_352"/>
    <hyperlink ref="D359" r:id="rId_hyperlink_353"/>
    <hyperlink ref="D360" r:id="rId_hyperlink_354"/>
    <hyperlink ref="D361" r:id="rId_hyperlink_355"/>
    <hyperlink ref="D362" r:id="rId_hyperlink_356"/>
    <hyperlink ref="D363" r:id="rId_hyperlink_357"/>
    <hyperlink ref="D364" r:id="rId_hyperlink_358"/>
    <hyperlink ref="D365" r:id="rId_hyperlink_359"/>
    <hyperlink ref="D366" r:id="rId_hyperlink_360"/>
    <hyperlink ref="D367" r:id="rId_hyperlink_361"/>
    <hyperlink ref="D368" r:id="rId_hyperlink_362"/>
    <hyperlink ref="D369" r:id="rId_hyperlink_363"/>
    <hyperlink ref="D370" r:id="rId_hyperlink_364"/>
    <hyperlink ref="D371" r:id="rId_hyperlink_365"/>
    <hyperlink ref="D372" r:id="rId_hyperlink_366"/>
    <hyperlink ref="D373" r:id="rId_hyperlink_367"/>
    <hyperlink ref="D374" r:id="rId_hyperlink_368"/>
    <hyperlink ref="D375" r:id="rId_hyperlink_369"/>
    <hyperlink ref="D376" r:id="rId_hyperlink_370"/>
    <hyperlink ref="D377" r:id="rId_hyperlink_371"/>
    <hyperlink ref="D378" r:id="rId_hyperlink_372"/>
    <hyperlink ref="D379" r:id="rId_hyperlink_373"/>
    <hyperlink ref="D380" r:id="rId_hyperlink_374"/>
    <hyperlink ref="D381" r:id="rId_hyperlink_375"/>
    <hyperlink ref="D382" r:id="rId_hyperlink_376"/>
    <hyperlink ref="D383" r:id="rId_hyperlink_377"/>
    <hyperlink ref="D384" r:id="rId_hyperlink_378"/>
    <hyperlink ref="D385" r:id="rId_hyperlink_379"/>
    <hyperlink ref="D386" r:id="rId_hyperlink_380"/>
    <hyperlink ref="D387" r:id="rId_hyperlink_381"/>
    <hyperlink ref="D388" r:id="rId_hyperlink_382"/>
    <hyperlink ref="D389" r:id="rId_hyperlink_383"/>
    <hyperlink ref="D390" r:id="rId_hyperlink_384"/>
    <hyperlink ref="D391" r:id="rId_hyperlink_385"/>
    <hyperlink ref="D392" r:id="rId_hyperlink_386"/>
    <hyperlink ref="D393" r:id="rId_hyperlink_387"/>
    <hyperlink ref="D394" r:id="rId_hyperlink_388"/>
    <hyperlink ref="D395" r:id="rId_hyperlink_389"/>
    <hyperlink ref="D396" r:id="rId_hyperlink_390"/>
    <hyperlink ref="D397" r:id="rId_hyperlink_391"/>
    <hyperlink ref="D398" r:id="rId_hyperlink_392"/>
    <hyperlink ref="D399" r:id="rId_hyperlink_393"/>
    <hyperlink ref="D400" r:id="rId_hyperlink_394"/>
    <hyperlink ref="D401" r:id="rId_hyperlink_395"/>
    <hyperlink ref="D402" r:id="rId_hyperlink_396"/>
    <hyperlink ref="D403" r:id="rId_hyperlink_397"/>
    <hyperlink ref="D404" r:id="rId_hyperlink_398"/>
    <hyperlink ref="D405" r:id="rId_hyperlink_399"/>
    <hyperlink ref="D406" r:id="rId_hyperlink_400"/>
    <hyperlink ref="D407" r:id="rId_hyperlink_401"/>
    <hyperlink ref="D408" r:id="rId_hyperlink_402"/>
    <hyperlink ref="D409" r:id="rId_hyperlink_403"/>
    <hyperlink ref="D410" r:id="rId_hyperlink_404"/>
    <hyperlink ref="D411" r:id="rId_hyperlink_405"/>
    <hyperlink ref="D412" r:id="rId_hyperlink_406"/>
    <hyperlink ref="D413" r:id="rId_hyperlink_407"/>
    <hyperlink ref="D414" r:id="rId_hyperlink_408"/>
    <hyperlink ref="D415" r:id="rId_hyperlink_409"/>
    <hyperlink ref="D416" r:id="rId_hyperlink_410"/>
    <hyperlink ref="D417" r:id="rId_hyperlink_411"/>
    <hyperlink ref="D418" r:id="rId_hyperlink_412"/>
    <hyperlink ref="D419" r:id="rId_hyperlink_413"/>
    <hyperlink ref="D420" r:id="rId_hyperlink_414"/>
    <hyperlink ref="D421" r:id="rId_hyperlink_415"/>
    <hyperlink ref="D422" r:id="rId_hyperlink_416"/>
    <hyperlink ref="D423" r:id="rId_hyperlink_417"/>
    <hyperlink ref="D424" r:id="rId_hyperlink_418"/>
    <hyperlink ref="D425" r:id="rId_hyperlink_419"/>
    <hyperlink ref="D426" r:id="rId_hyperlink_420"/>
    <hyperlink ref="D427" r:id="rId_hyperlink_421"/>
    <hyperlink ref="D428" r:id="rId_hyperlink_422"/>
    <hyperlink ref="D429" r:id="rId_hyperlink_423"/>
    <hyperlink ref="D430" r:id="rId_hyperlink_424"/>
    <hyperlink ref="D431" r:id="rId_hyperlink_425"/>
    <hyperlink ref="D432" r:id="rId_hyperlink_426"/>
    <hyperlink ref="D433" r:id="rId_hyperlink_427"/>
    <hyperlink ref="D434" r:id="rId_hyperlink_428"/>
    <hyperlink ref="D435" r:id="rId_hyperlink_429"/>
    <hyperlink ref="D436" r:id="rId_hyperlink_430"/>
    <hyperlink ref="D437" r:id="rId_hyperlink_431"/>
    <hyperlink ref="D438" r:id="rId_hyperlink_432"/>
    <hyperlink ref="D439" r:id="rId_hyperlink_433"/>
    <hyperlink ref="D440" r:id="rId_hyperlink_434"/>
    <hyperlink ref="D441" r:id="rId_hyperlink_435"/>
    <hyperlink ref="D442" r:id="rId_hyperlink_436"/>
    <hyperlink ref="D443" r:id="rId_hyperlink_437"/>
    <hyperlink ref="D444" r:id="rId_hyperlink_438"/>
    <hyperlink ref="D445" r:id="rId_hyperlink_439"/>
    <hyperlink ref="D446" r:id="rId_hyperlink_440"/>
    <hyperlink ref="D447" r:id="rId_hyperlink_441"/>
    <hyperlink ref="D448" r:id="rId_hyperlink_442"/>
    <hyperlink ref="D449" r:id="rId_hyperlink_443"/>
    <hyperlink ref="D450" r:id="rId_hyperlink_444"/>
    <hyperlink ref="D451" r:id="rId_hyperlink_445"/>
    <hyperlink ref="D452" r:id="rId_hyperlink_446"/>
    <hyperlink ref="D453" r:id="rId_hyperlink_447"/>
    <hyperlink ref="D454" r:id="rId_hyperlink_448"/>
    <hyperlink ref="D455" r:id="rId_hyperlink_449"/>
    <hyperlink ref="D456" r:id="rId_hyperlink_450"/>
    <hyperlink ref="D457" r:id="rId_hyperlink_451"/>
    <hyperlink ref="D458" r:id="rId_hyperlink_452"/>
    <hyperlink ref="D459" r:id="rId_hyperlink_453"/>
    <hyperlink ref="D460" r:id="rId_hyperlink_454"/>
    <hyperlink ref="D461" r:id="rId_hyperlink_455"/>
    <hyperlink ref="D462" r:id="rId_hyperlink_456"/>
    <hyperlink ref="D463" r:id="rId_hyperlink_457"/>
    <hyperlink ref="D464" r:id="rId_hyperlink_458"/>
    <hyperlink ref="D465" r:id="rId_hyperlink_459"/>
    <hyperlink ref="D466" r:id="rId_hyperlink_460"/>
    <hyperlink ref="D467" r:id="rId_hyperlink_461"/>
    <hyperlink ref="D468" r:id="rId_hyperlink_462"/>
    <hyperlink ref="D469" r:id="rId_hyperlink_463"/>
    <hyperlink ref="D470" r:id="rId_hyperlink_464"/>
    <hyperlink ref="D471" r:id="rId_hyperlink_465"/>
    <hyperlink ref="D472" r:id="rId_hyperlink_466"/>
    <hyperlink ref="D473" r:id="rId_hyperlink_467"/>
    <hyperlink ref="D474" r:id="rId_hyperlink_468"/>
    <hyperlink ref="D475" r:id="rId_hyperlink_469"/>
    <hyperlink ref="D476" r:id="rId_hyperlink_470"/>
    <hyperlink ref="D477" r:id="rId_hyperlink_471"/>
    <hyperlink ref="D478" r:id="rId_hyperlink_472"/>
    <hyperlink ref="D479" r:id="rId_hyperlink_473"/>
    <hyperlink ref="D480" r:id="rId_hyperlink_474"/>
    <hyperlink ref="D481" r:id="rId_hyperlink_475"/>
    <hyperlink ref="D482" r:id="rId_hyperlink_476"/>
    <hyperlink ref="D483" r:id="rId_hyperlink_477"/>
    <hyperlink ref="D484" r:id="rId_hyperlink_478"/>
    <hyperlink ref="D485" r:id="rId_hyperlink_479"/>
    <hyperlink ref="D486" r:id="rId_hyperlink_480"/>
    <hyperlink ref="D487" r:id="rId_hyperlink_481"/>
    <hyperlink ref="D488" r:id="rId_hyperlink_482"/>
    <hyperlink ref="D489" r:id="rId_hyperlink_483"/>
    <hyperlink ref="D490" r:id="rId_hyperlink_484"/>
    <hyperlink ref="D491" r:id="rId_hyperlink_485"/>
    <hyperlink ref="D492" r:id="rId_hyperlink_486"/>
    <hyperlink ref="D493" r:id="rId_hyperlink_487"/>
    <hyperlink ref="D494" r:id="rId_hyperlink_488"/>
    <hyperlink ref="D495" r:id="rId_hyperlink_489"/>
    <hyperlink ref="D496" r:id="rId_hyperlink_490"/>
    <hyperlink ref="D497" r:id="rId_hyperlink_491"/>
    <hyperlink ref="D498" r:id="rId_hyperlink_492"/>
    <hyperlink ref="D499" r:id="rId_hyperlink_493"/>
    <hyperlink ref="D500" r:id="rId_hyperlink_494"/>
    <hyperlink ref="D501" r:id="rId_hyperlink_495"/>
    <hyperlink ref="D502" r:id="rId_hyperlink_496"/>
    <hyperlink ref="D503" r:id="rId_hyperlink_497"/>
    <hyperlink ref="D504" r:id="rId_hyperlink_498"/>
    <hyperlink ref="D505" r:id="rId_hyperlink_499"/>
    <hyperlink ref="D506" r:id="rId_hyperlink_500"/>
    <hyperlink ref="D507" r:id="rId_hyperlink_501"/>
    <hyperlink ref="D508" r:id="rId_hyperlink_502"/>
    <hyperlink ref="D509" r:id="rId_hyperlink_503"/>
    <hyperlink ref="D510" r:id="rId_hyperlink_504"/>
    <hyperlink ref="D511" r:id="rId_hyperlink_505"/>
    <hyperlink ref="D512" r:id="rId_hyperlink_506"/>
    <hyperlink ref="D513" r:id="rId_hyperlink_507"/>
    <hyperlink ref="D514" r:id="rId_hyperlink_508"/>
    <hyperlink ref="D515" r:id="rId_hyperlink_509"/>
    <hyperlink ref="D516" r:id="rId_hyperlink_510"/>
    <hyperlink ref="D517" r:id="rId_hyperlink_511"/>
    <hyperlink ref="D518" r:id="rId_hyperlink_512"/>
    <hyperlink ref="D519" r:id="rId_hyperlink_513"/>
    <hyperlink ref="D520" r:id="rId_hyperlink_514"/>
    <hyperlink ref="D521" r:id="rId_hyperlink_515"/>
    <hyperlink ref="D522" r:id="rId_hyperlink_516"/>
    <hyperlink ref="D523" r:id="rId_hyperlink_517"/>
    <hyperlink ref="D524" r:id="rId_hyperlink_518"/>
    <hyperlink ref="D525" r:id="rId_hyperlink_519"/>
    <hyperlink ref="D526" r:id="rId_hyperlink_520"/>
    <hyperlink ref="D527" r:id="rId_hyperlink_521"/>
    <hyperlink ref="D528" r:id="rId_hyperlink_522"/>
    <hyperlink ref="D529" r:id="rId_hyperlink_523"/>
    <hyperlink ref="D530" r:id="rId_hyperlink_524"/>
    <hyperlink ref="D531" r:id="rId_hyperlink_525"/>
    <hyperlink ref="D532" r:id="rId_hyperlink_526"/>
    <hyperlink ref="D533" r:id="rId_hyperlink_527"/>
    <hyperlink ref="D534" r:id="rId_hyperlink_528"/>
    <hyperlink ref="D535" r:id="rId_hyperlink_529"/>
    <hyperlink ref="D536" r:id="rId_hyperlink_530"/>
    <hyperlink ref="D537" r:id="rId_hyperlink_531"/>
    <hyperlink ref="D538" r:id="rId_hyperlink_532"/>
    <hyperlink ref="D539" r:id="rId_hyperlink_533"/>
    <hyperlink ref="D540" r:id="rId_hyperlink_534"/>
    <hyperlink ref="D541" r:id="rId_hyperlink_535"/>
    <hyperlink ref="D542" r:id="rId_hyperlink_536"/>
    <hyperlink ref="D543" r:id="rId_hyperlink_537"/>
    <hyperlink ref="D544" r:id="rId_hyperlink_538"/>
    <hyperlink ref="D545" r:id="rId_hyperlink_539"/>
    <hyperlink ref="D546" r:id="rId_hyperlink_540"/>
    <hyperlink ref="D547" r:id="rId_hyperlink_541"/>
    <hyperlink ref="D548" r:id="rId_hyperlink_542"/>
    <hyperlink ref="D549" r:id="rId_hyperlink_543"/>
    <hyperlink ref="D550" r:id="rId_hyperlink_544"/>
    <hyperlink ref="D551" r:id="rId_hyperlink_545"/>
    <hyperlink ref="D552" r:id="rId_hyperlink_546"/>
    <hyperlink ref="D553" r:id="rId_hyperlink_547"/>
    <hyperlink ref="D554" r:id="rId_hyperlink_548"/>
    <hyperlink ref="D555" r:id="rId_hyperlink_549"/>
    <hyperlink ref="D556" r:id="rId_hyperlink_550"/>
    <hyperlink ref="D557" r:id="rId_hyperlink_551"/>
    <hyperlink ref="D558" r:id="rId_hyperlink_552"/>
    <hyperlink ref="D559" r:id="rId_hyperlink_553"/>
    <hyperlink ref="D560" r:id="rId_hyperlink_554"/>
    <hyperlink ref="D561" r:id="rId_hyperlink_555"/>
    <hyperlink ref="D562" r:id="rId_hyperlink_556"/>
    <hyperlink ref="D563" r:id="rId_hyperlink_557"/>
    <hyperlink ref="D564" r:id="rId_hyperlink_558"/>
    <hyperlink ref="D565" r:id="rId_hyperlink_559"/>
    <hyperlink ref="D566" r:id="rId_hyperlink_560"/>
    <hyperlink ref="D567" r:id="rId_hyperlink_561"/>
    <hyperlink ref="D568" r:id="rId_hyperlink_562"/>
    <hyperlink ref="D569" r:id="rId_hyperlink_563"/>
    <hyperlink ref="D570" r:id="rId_hyperlink_564"/>
    <hyperlink ref="D571" r:id="rId_hyperlink_565"/>
    <hyperlink ref="D572" r:id="rId_hyperlink_566"/>
    <hyperlink ref="D573" r:id="rId_hyperlink_567"/>
    <hyperlink ref="D574" r:id="rId_hyperlink_568"/>
    <hyperlink ref="D575" r:id="rId_hyperlink_569"/>
    <hyperlink ref="D576" r:id="rId_hyperlink_570"/>
    <hyperlink ref="D577" r:id="rId_hyperlink_571"/>
    <hyperlink ref="D578" r:id="rId_hyperlink_572"/>
    <hyperlink ref="D579" r:id="rId_hyperlink_573"/>
    <hyperlink ref="D580" r:id="rId_hyperlink_574"/>
    <hyperlink ref="D581" r:id="rId_hyperlink_575"/>
    <hyperlink ref="D582" r:id="rId_hyperlink_576"/>
    <hyperlink ref="D583" r:id="rId_hyperlink_577"/>
    <hyperlink ref="D584" r:id="rId_hyperlink_578"/>
    <hyperlink ref="D585" r:id="rId_hyperlink_579"/>
    <hyperlink ref="D586" r:id="rId_hyperlink_580"/>
    <hyperlink ref="D587" r:id="rId_hyperlink_581"/>
    <hyperlink ref="D588" r:id="rId_hyperlink_582"/>
    <hyperlink ref="D589" r:id="rId_hyperlink_583"/>
    <hyperlink ref="D590" r:id="rId_hyperlink_584"/>
    <hyperlink ref="D591" r:id="rId_hyperlink_585"/>
    <hyperlink ref="D592" r:id="rId_hyperlink_586"/>
    <hyperlink ref="D593" r:id="rId_hyperlink_587"/>
    <hyperlink ref="D594" r:id="rId_hyperlink_588"/>
    <hyperlink ref="D595" r:id="rId_hyperlink_589"/>
    <hyperlink ref="D596" r:id="rId_hyperlink_590"/>
    <hyperlink ref="D597" r:id="rId_hyperlink_591"/>
    <hyperlink ref="D598" r:id="rId_hyperlink_592"/>
    <hyperlink ref="D599" r:id="rId_hyperlink_593"/>
    <hyperlink ref="D600" r:id="rId_hyperlink_594"/>
    <hyperlink ref="D601" r:id="rId_hyperlink_595"/>
    <hyperlink ref="D602" r:id="rId_hyperlink_596"/>
    <hyperlink ref="D603" r:id="rId_hyperlink_597"/>
    <hyperlink ref="D604" r:id="rId_hyperlink_598"/>
    <hyperlink ref="D605" r:id="rId_hyperlink_599"/>
    <hyperlink ref="D606" r:id="rId_hyperlink_600"/>
    <hyperlink ref="D607" r:id="rId_hyperlink_601"/>
    <hyperlink ref="D608" r:id="rId_hyperlink_602"/>
    <hyperlink ref="D609" r:id="rId_hyperlink_603"/>
    <hyperlink ref="D610" r:id="rId_hyperlink_604"/>
    <hyperlink ref="D611" r:id="rId_hyperlink_605"/>
    <hyperlink ref="D612" r:id="rId_hyperlink_606"/>
    <hyperlink ref="D613" r:id="rId_hyperlink_607"/>
    <hyperlink ref="D614" r:id="rId_hyperlink_608"/>
    <hyperlink ref="D615" r:id="rId_hyperlink_609"/>
    <hyperlink ref="D616" r:id="rId_hyperlink_610"/>
    <hyperlink ref="D617" r:id="rId_hyperlink_611"/>
    <hyperlink ref="D618" r:id="rId_hyperlink_612"/>
    <hyperlink ref="D619" r:id="rId_hyperlink_613"/>
    <hyperlink ref="D620" r:id="rId_hyperlink_614"/>
    <hyperlink ref="D621" r:id="rId_hyperlink_615"/>
    <hyperlink ref="D622" r:id="rId_hyperlink_616"/>
    <hyperlink ref="D623" r:id="rId_hyperlink_617"/>
    <hyperlink ref="D624" r:id="rId_hyperlink_618"/>
    <hyperlink ref="D625" r:id="rId_hyperlink_619"/>
    <hyperlink ref="D626" r:id="rId_hyperlink_620"/>
    <hyperlink ref="D627" r:id="rId_hyperlink_621"/>
    <hyperlink ref="D628" r:id="rId_hyperlink_622"/>
    <hyperlink ref="D629" r:id="rId_hyperlink_623"/>
    <hyperlink ref="D630" r:id="rId_hyperlink_624"/>
    <hyperlink ref="D631" r:id="rId_hyperlink_625"/>
    <hyperlink ref="D632" r:id="rId_hyperlink_626"/>
    <hyperlink ref="D633" r:id="rId_hyperlink_627"/>
    <hyperlink ref="D634" r:id="rId_hyperlink_628"/>
    <hyperlink ref="D635" r:id="rId_hyperlink_629"/>
    <hyperlink ref="D636" r:id="rId_hyperlink_630"/>
    <hyperlink ref="D637" r:id="rId_hyperlink_631"/>
    <hyperlink ref="D638" r:id="rId_hyperlink_632"/>
    <hyperlink ref="D639" r:id="rId_hyperlink_633"/>
    <hyperlink ref="D640" r:id="rId_hyperlink_634"/>
    <hyperlink ref="D641" r:id="rId_hyperlink_635"/>
    <hyperlink ref="D642" r:id="rId_hyperlink_636"/>
    <hyperlink ref="D643" r:id="rId_hyperlink_637"/>
    <hyperlink ref="D644" r:id="rId_hyperlink_638"/>
    <hyperlink ref="D645" r:id="rId_hyperlink_639"/>
    <hyperlink ref="D646" r:id="rId_hyperlink_640"/>
    <hyperlink ref="D647" r:id="rId_hyperlink_641"/>
    <hyperlink ref="D648" r:id="rId_hyperlink_642"/>
    <hyperlink ref="D649" r:id="rId_hyperlink_643"/>
    <hyperlink ref="D650" r:id="rId_hyperlink_644"/>
    <hyperlink ref="D651" r:id="rId_hyperlink_645"/>
    <hyperlink ref="D652" r:id="rId_hyperlink_646"/>
    <hyperlink ref="D653" r:id="rId_hyperlink_647"/>
    <hyperlink ref="D654" r:id="rId_hyperlink_648"/>
    <hyperlink ref="D655" r:id="rId_hyperlink_649"/>
    <hyperlink ref="D656" r:id="rId_hyperlink_650"/>
    <hyperlink ref="D657" r:id="rId_hyperlink_651"/>
    <hyperlink ref="D658" r:id="rId_hyperlink_652"/>
    <hyperlink ref="D659" r:id="rId_hyperlink_653"/>
    <hyperlink ref="D660" r:id="rId_hyperlink_654"/>
    <hyperlink ref="D661" r:id="rId_hyperlink_655"/>
    <hyperlink ref="D662" r:id="rId_hyperlink_656"/>
    <hyperlink ref="D663" r:id="rId_hyperlink_657"/>
    <hyperlink ref="D664" r:id="rId_hyperlink_658"/>
    <hyperlink ref="D665" r:id="rId_hyperlink_659"/>
    <hyperlink ref="D666" r:id="rId_hyperlink_660"/>
    <hyperlink ref="D667" r:id="rId_hyperlink_661"/>
    <hyperlink ref="D668" r:id="rId_hyperlink_662"/>
    <hyperlink ref="D669" r:id="rId_hyperlink_663"/>
    <hyperlink ref="D670" r:id="rId_hyperlink_664"/>
    <hyperlink ref="D671" r:id="rId_hyperlink_665"/>
    <hyperlink ref="D672" r:id="rId_hyperlink_666"/>
    <hyperlink ref="D673" r:id="rId_hyperlink_667"/>
    <hyperlink ref="D674" r:id="rId_hyperlink_668"/>
    <hyperlink ref="D675" r:id="rId_hyperlink_669"/>
    <hyperlink ref="D676" r:id="rId_hyperlink_670"/>
    <hyperlink ref="D677" r:id="rId_hyperlink_671"/>
    <hyperlink ref="D678" r:id="rId_hyperlink_672"/>
    <hyperlink ref="D679" r:id="rId_hyperlink_673"/>
    <hyperlink ref="D680" r:id="rId_hyperlink_674"/>
    <hyperlink ref="D681" r:id="rId_hyperlink_675"/>
    <hyperlink ref="D682" r:id="rId_hyperlink_676"/>
    <hyperlink ref="D683" r:id="rId_hyperlink_677"/>
    <hyperlink ref="D684" r:id="rId_hyperlink_678"/>
    <hyperlink ref="D685" r:id="rId_hyperlink_679"/>
    <hyperlink ref="D686" r:id="rId_hyperlink_680"/>
    <hyperlink ref="D687" r:id="rId_hyperlink_681"/>
    <hyperlink ref="D688" r:id="rId_hyperlink_682"/>
    <hyperlink ref="D689" r:id="rId_hyperlink_683"/>
    <hyperlink ref="D690" r:id="rId_hyperlink_684"/>
    <hyperlink ref="D691" r:id="rId_hyperlink_685"/>
    <hyperlink ref="D692" r:id="rId_hyperlink_686"/>
    <hyperlink ref="D693" r:id="rId_hyperlink_687"/>
    <hyperlink ref="D694" r:id="rId_hyperlink_688"/>
    <hyperlink ref="D695" r:id="rId_hyperlink_689"/>
    <hyperlink ref="D696" r:id="rId_hyperlink_690"/>
    <hyperlink ref="D697" r:id="rId_hyperlink_691"/>
    <hyperlink ref="D698" r:id="rId_hyperlink_692"/>
    <hyperlink ref="D699" r:id="rId_hyperlink_693"/>
    <hyperlink ref="D700" r:id="rId_hyperlink_694"/>
    <hyperlink ref="D701" r:id="rId_hyperlink_695"/>
    <hyperlink ref="D702" r:id="rId_hyperlink_696"/>
    <hyperlink ref="D703" r:id="rId_hyperlink_697"/>
    <hyperlink ref="D704" r:id="rId_hyperlink_698"/>
    <hyperlink ref="D705" r:id="rId_hyperlink_699"/>
    <hyperlink ref="D706" r:id="rId_hyperlink_700"/>
    <hyperlink ref="D707" r:id="rId_hyperlink_701"/>
    <hyperlink ref="D708" r:id="rId_hyperlink_702"/>
    <hyperlink ref="D709" r:id="rId_hyperlink_703"/>
    <hyperlink ref="D710" r:id="rId_hyperlink_704"/>
    <hyperlink ref="D711" r:id="rId_hyperlink_705"/>
    <hyperlink ref="D712" r:id="rId_hyperlink_706"/>
    <hyperlink ref="D713" r:id="rId_hyperlink_707"/>
    <hyperlink ref="D714" r:id="rId_hyperlink_708"/>
    <hyperlink ref="D715" r:id="rId_hyperlink_709"/>
    <hyperlink ref="D716" r:id="rId_hyperlink_710"/>
    <hyperlink ref="D717" r:id="rId_hyperlink_711"/>
    <hyperlink ref="D718" r:id="rId_hyperlink_712"/>
    <hyperlink ref="D719" r:id="rId_hyperlink_713"/>
    <hyperlink ref="D720" r:id="rId_hyperlink_714"/>
    <hyperlink ref="D721" r:id="rId_hyperlink_715"/>
    <hyperlink ref="D722" r:id="rId_hyperlink_716"/>
    <hyperlink ref="D723" r:id="rId_hyperlink_717"/>
    <hyperlink ref="D724" r:id="rId_hyperlink_718"/>
    <hyperlink ref="D725" r:id="rId_hyperlink_719"/>
    <hyperlink ref="D726" r:id="rId_hyperlink_720"/>
    <hyperlink ref="D727" r:id="rId_hyperlink_721"/>
    <hyperlink ref="D728" r:id="rId_hyperlink_722"/>
    <hyperlink ref="D729" r:id="rId_hyperlink_723"/>
    <hyperlink ref="D730" r:id="rId_hyperlink_724"/>
    <hyperlink ref="D731" r:id="rId_hyperlink_725"/>
    <hyperlink ref="D732" r:id="rId_hyperlink_726"/>
    <hyperlink ref="D733" r:id="rId_hyperlink_727"/>
    <hyperlink ref="D734" r:id="rId_hyperlink_728"/>
    <hyperlink ref="D735" r:id="rId_hyperlink_729"/>
    <hyperlink ref="D736" r:id="rId_hyperlink_730"/>
    <hyperlink ref="D737" r:id="rId_hyperlink_731"/>
    <hyperlink ref="D738" r:id="rId_hyperlink_732"/>
    <hyperlink ref="D739" r:id="rId_hyperlink_733"/>
    <hyperlink ref="D740" r:id="rId_hyperlink_734"/>
    <hyperlink ref="D741" r:id="rId_hyperlink_735"/>
    <hyperlink ref="D742" r:id="rId_hyperlink_736"/>
    <hyperlink ref="D743" r:id="rId_hyperlink_737"/>
    <hyperlink ref="D744" r:id="rId_hyperlink_738"/>
    <hyperlink ref="D745" r:id="rId_hyperlink_739"/>
    <hyperlink ref="D746" r:id="rId_hyperlink_740"/>
    <hyperlink ref="D747" r:id="rId_hyperlink_741"/>
    <hyperlink ref="D748" r:id="rId_hyperlink_742"/>
    <hyperlink ref="D749" r:id="rId_hyperlink_743"/>
    <hyperlink ref="D750" r:id="rId_hyperlink_744"/>
    <hyperlink ref="D751" r:id="rId_hyperlink_745"/>
    <hyperlink ref="D752" r:id="rId_hyperlink_746"/>
    <hyperlink ref="D753" r:id="rId_hyperlink_747"/>
    <hyperlink ref="D754" r:id="rId_hyperlink_748"/>
    <hyperlink ref="D755" r:id="rId_hyperlink_749"/>
    <hyperlink ref="D756" r:id="rId_hyperlink_750"/>
    <hyperlink ref="D757" r:id="rId_hyperlink_751"/>
    <hyperlink ref="D758" r:id="rId_hyperlink_752"/>
    <hyperlink ref="D759" r:id="rId_hyperlink_753"/>
    <hyperlink ref="D760" r:id="rId_hyperlink_754"/>
    <hyperlink ref="D761" r:id="rId_hyperlink_755"/>
    <hyperlink ref="D762" r:id="rId_hyperlink_756"/>
    <hyperlink ref="D763" r:id="rId_hyperlink_757"/>
    <hyperlink ref="D764" r:id="rId_hyperlink_758"/>
    <hyperlink ref="D765" r:id="rId_hyperlink_759"/>
    <hyperlink ref="D766" r:id="rId_hyperlink_760"/>
    <hyperlink ref="D767" r:id="rId_hyperlink_761"/>
    <hyperlink ref="D768" r:id="rId_hyperlink_762"/>
    <hyperlink ref="D769" r:id="rId_hyperlink_763"/>
    <hyperlink ref="D770" r:id="rId_hyperlink_764"/>
    <hyperlink ref="D771" r:id="rId_hyperlink_765"/>
    <hyperlink ref="D772" r:id="rId_hyperlink_766"/>
    <hyperlink ref="D773" r:id="rId_hyperlink_767"/>
    <hyperlink ref="D774" r:id="rId_hyperlink_768"/>
    <hyperlink ref="D775" r:id="rId_hyperlink_769"/>
    <hyperlink ref="D776" r:id="rId_hyperlink_770"/>
    <hyperlink ref="D777" r:id="rId_hyperlink_771"/>
    <hyperlink ref="D778" r:id="rId_hyperlink_772"/>
    <hyperlink ref="D779" r:id="rId_hyperlink_773"/>
    <hyperlink ref="D780" r:id="rId_hyperlink_774"/>
    <hyperlink ref="D781" r:id="rId_hyperlink_775"/>
    <hyperlink ref="D782" r:id="rId_hyperlink_776"/>
    <hyperlink ref="D783" r:id="rId_hyperlink_777"/>
    <hyperlink ref="D784" r:id="rId_hyperlink_778"/>
    <hyperlink ref="D785" r:id="rId_hyperlink_779"/>
    <hyperlink ref="D786" r:id="rId_hyperlink_780"/>
    <hyperlink ref="D787" r:id="rId_hyperlink_781"/>
    <hyperlink ref="D788" r:id="rId_hyperlink_782"/>
    <hyperlink ref="D789" r:id="rId_hyperlink_783"/>
    <hyperlink ref="D790" r:id="rId_hyperlink_784"/>
    <hyperlink ref="D791" r:id="rId_hyperlink_785"/>
    <hyperlink ref="D792" r:id="rId_hyperlink_786"/>
    <hyperlink ref="D793" r:id="rId_hyperlink_787"/>
    <hyperlink ref="D794" r:id="rId_hyperlink_788"/>
    <hyperlink ref="D795" r:id="rId_hyperlink_789"/>
    <hyperlink ref="D796" r:id="rId_hyperlink_790"/>
    <hyperlink ref="D797" r:id="rId_hyperlink_791"/>
    <hyperlink ref="D798" r:id="rId_hyperlink_792"/>
    <hyperlink ref="D799" r:id="rId_hyperlink_793"/>
    <hyperlink ref="D800" r:id="rId_hyperlink_794"/>
    <hyperlink ref="D801" r:id="rId_hyperlink_795"/>
    <hyperlink ref="D802" r:id="rId_hyperlink_796"/>
    <hyperlink ref="D803" r:id="rId_hyperlink_797"/>
    <hyperlink ref="D804" r:id="rId_hyperlink_7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https://him-auto.ru/</dc:creator>
  <cp:lastModifiedBy>https://him-auto.ru/</cp:lastModifiedBy>
  <dcterms:created xsi:type="dcterms:W3CDTF">2026-11-01T23:42:49+03:00</dcterms:created>
  <dcterms:modified xsi:type="dcterms:W3CDTF">2026-11-01T23:42:49+03:00</dcterms:modified>
  <dc:title>Документ Office 2007 XLSX</dc:title>
  <dc:description>Этот документ был сгенерирован на сайте https://him-auto.ru/</dc:description>
  <dc:subject>Прайс-лист</dc:subject>
  <cp:keywords/>
  <cp:category/>
</cp:coreProperties>
</file>